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omments1.xml" ContentType="application/vnd.openxmlformats-officedocument.spreadsheetml.comments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comments2.xml" ContentType="application/vnd.openxmlformats-officedocument.spreadsheetml.comments+xml"/>
  <Override PartName="/xl/tables/table4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clif\Desktop\IFPB-ES (Drive)\CCL 2023\(Pregão) Terceirizados Napne, Apoio Escolar e Limpeza\Instrumento Convocatório - PE SRP 06_2023\Anexo V - Planilha de Custos e Formação de Preços\"/>
    </mc:Choice>
  </mc:AlternateContent>
  <xr:revisionPtr revIDLastSave="0" documentId="13_ncr:1_{F8E0DC8C-53F3-490B-94F1-2EC19D17DFBA}" xr6:coauthVersionLast="47" xr6:coauthVersionMax="47" xr10:uidLastSave="{00000000-0000-0000-0000-000000000000}"/>
  <bookViews>
    <workbookView xWindow="-120" yWindow="-120" windowWidth="20730" windowHeight="11040" tabRatio="500" firstSheet="7" activeTab="8" xr2:uid="{00000000-000D-0000-FFFF-FFFF00000000}"/>
  </bookViews>
  <sheets>
    <sheet name="Servente" sheetId="1" state="hidden" r:id="rId1"/>
    <sheet name="Encarregado" sheetId="2" state="hidden" r:id="rId2"/>
    <sheet name="Quadro Resumo" sheetId="3" r:id="rId3"/>
    <sheet name="Psicopedagogo" sheetId="4" r:id="rId4"/>
    <sheet name="Cuidador" sheetId="5" r:id="rId5"/>
    <sheet name="Apoio" sheetId="10" r:id="rId6"/>
    <sheet name="ASG" sheetId="12" r:id="rId7"/>
    <sheet name="Encarregado_" sheetId="11" r:id="rId8"/>
    <sheet name="Uniformes" sheetId="7" r:id="rId9"/>
    <sheet name="Materiais e Equipamentos" sheetId="13" r:id="rId10"/>
    <sheet name="Relógio Ponto" sheetId="6" r:id="rId11"/>
    <sheet name="Qnt_ASG-ENC" sheetId="15" r:id="rId12"/>
    <sheet name="Áreas" sheetId="14" r:id="rId13"/>
  </sheets>
  <externalReferences>
    <externalReference r:id="rId14"/>
  </externalReferences>
  <definedNames>
    <definedName name="__xlcn.WorksheetConnection_PlanilhaLimpeza.xlsxTable3" localSheetId="4">table3</definedName>
    <definedName name="__xlcn.WorksheetConnection_PlanilhaLimpeza.xlsxTable3" localSheetId="3">table3</definedName>
    <definedName name="__xlcn.WorksheetConnection_PlanilhaLimpeza.xlsxTable3" localSheetId="2">table3</definedName>
    <definedName name="__xlcn.WorksheetConnection_PlanilhaLimpeza.xlsxTable3">table3</definedName>
    <definedName name="_1A" localSheetId="1">Encarregado!$D$11</definedName>
    <definedName name="_1A" localSheetId="0">Servente!$D$11</definedName>
    <definedName name="_1A">#REF!</definedName>
    <definedName name="_1B" localSheetId="1">Encarregado!$D$12</definedName>
    <definedName name="_1B" localSheetId="0">Servente!$D$12</definedName>
    <definedName name="_1B">#REF!</definedName>
    <definedName name="_1C" localSheetId="1">Encarregado!$D$13</definedName>
    <definedName name="_1C" localSheetId="0">Servente!$D$13</definedName>
    <definedName name="_1C">#REF!</definedName>
    <definedName name="_1D" localSheetId="1">Encarregado!$D$14</definedName>
    <definedName name="_1D" localSheetId="0">Servente!$D$14</definedName>
    <definedName name="_1D">#REF!</definedName>
    <definedName name="_1E" localSheetId="1">Encarregado!$D$15</definedName>
    <definedName name="_1E" localSheetId="0">Servente!$D$15</definedName>
    <definedName name="_1E">#REF!</definedName>
    <definedName name="_1F" localSheetId="1">Encarregado!$D$16</definedName>
    <definedName name="_1F" localSheetId="0">Servente!$D$16</definedName>
    <definedName name="_1F">#REF!</definedName>
    <definedName name="_2.1A" localSheetId="1">Encarregado!$D$22</definedName>
    <definedName name="_2.1A" localSheetId="0">Servente!$D$22</definedName>
    <definedName name="_2.1A">#REF!</definedName>
    <definedName name="_2.1B" localSheetId="1">Encarregado!$D$23</definedName>
    <definedName name="_2.1B" localSheetId="0">Servente!$D$23</definedName>
    <definedName name="_2.1B">#REF!</definedName>
    <definedName name="_2.3A" localSheetId="1">Encarregado!$D$49</definedName>
    <definedName name="_2.3A" localSheetId="0">Servente!$D$49</definedName>
    <definedName name="_2.3A">#REF!</definedName>
    <definedName name="_2.3B" localSheetId="1">Encarregado!$D$50</definedName>
    <definedName name="_2.3B" localSheetId="0">Servente!$D$50</definedName>
    <definedName name="_2.3B">#REF!</definedName>
    <definedName name="_2.3C" localSheetId="1">Encarregado!$D$51</definedName>
    <definedName name="_2.3C" localSheetId="0">Servente!$D$51</definedName>
    <definedName name="_2.3C">#REF!</definedName>
    <definedName name="_2.3D" localSheetId="1">Encarregado!$D$52</definedName>
    <definedName name="_2.3D" localSheetId="0">Servente!$D$52</definedName>
    <definedName name="_2.3D">#REF!</definedName>
    <definedName name="_xlnm.Print_Area" localSheetId="2">'Quadro Resumo'!$A$1:$H$9</definedName>
    <definedName name="_xlnm.Print_Area" localSheetId="10">'Relógio Ponto'!$A$1:$H$9</definedName>
    <definedName name="_xlnm.Print_Area" localSheetId="8">Uniformes!$A$1:$O$9</definedName>
    <definedName name="Salário_Normativo_da_Categoria_Profissional" localSheetId="1">Encarregado!$D$5</definedName>
    <definedName name="Salário_Normativo_da_Categoria_Profissional" localSheetId="0">Servente!$D$5</definedName>
    <definedName name="Salário_Normativo_da_Categoria_Profissional">#REF!</definedName>
    <definedName name="SalarioBase" localSheetId="1">Encarregado!$D$5</definedName>
    <definedName name="SalarioBase" localSheetId="0">Servente!$D$5</definedName>
    <definedName name="SalarioBase">#REF!</definedName>
    <definedName name="teste" localSheetId="4">table3</definedName>
    <definedName name="teste" localSheetId="3">table3</definedName>
    <definedName name="teste" localSheetId="2">table3</definedName>
    <definedName name="teste">table3</definedName>
    <definedName name="Total1" localSheetId="1">Encarregado!#REF!</definedName>
    <definedName name="Total1" localSheetId="0">Servente!#REF!</definedName>
    <definedName name="Total1">#REF!</definedName>
    <definedName name="Total2.1" localSheetId="1">Encarregado!#REF!</definedName>
    <definedName name="Total2.1" localSheetId="0">Servente!#REF!</definedName>
    <definedName name="Total2.1">#REF!</definedName>
    <definedName name="Total2.2" localSheetId="1">Encarregado!#REF!</definedName>
    <definedName name="Total2.2" localSheetId="0">Servente!#REF!</definedName>
    <definedName name="Total2.2">#REF!</definedName>
    <definedName name="Total2.3" localSheetId="1">Encarregado!#REF!</definedName>
    <definedName name="Total2.3" localSheetId="0">Servente!#REF!</definedName>
    <definedName name="Total2.3">#REF!</definedName>
  </definedNames>
  <calcPr calcId="191029"/>
</workbook>
</file>

<file path=xl/calcChain.xml><?xml version="1.0" encoding="utf-8"?>
<calcChain xmlns="http://schemas.openxmlformats.org/spreadsheetml/2006/main">
  <c r="F28" i="13" l="1"/>
  <c r="F8" i="7"/>
  <c r="F22" i="7"/>
  <c r="F23" i="7" s="1"/>
  <c r="D92" i="11"/>
  <c r="D92" i="12"/>
  <c r="D92" i="10"/>
  <c r="D92" i="5"/>
  <c r="D92" i="4"/>
  <c r="F81" i="13"/>
  <c r="F79" i="13"/>
  <c r="F78" i="13"/>
  <c r="F77" i="13"/>
  <c r="F76" i="13"/>
  <c r="F10" i="6"/>
  <c r="F8" i="6"/>
  <c r="F7" i="6"/>
  <c r="F6" i="6"/>
  <c r="F5" i="6"/>
  <c r="F21" i="7"/>
  <c r="F18" i="7"/>
  <c r="F3" i="13"/>
  <c r="C60" i="11"/>
  <c r="C60" i="12"/>
  <c r="C60" i="10"/>
  <c r="C60" i="5"/>
  <c r="F27" i="13" l="1"/>
  <c r="F60" i="13"/>
  <c r="F75" i="13" l="1"/>
  <c r="F17" i="7" l="1"/>
  <c r="F16" i="7"/>
  <c r="F7" i="15"/>
  <c r="H7" i="15" s="1"/>
  <c r="E9" i="14"/>
  <c r="D9" i="14"/>
  <c r="F19" i="15" s="1"/>
  <c r="H19" i="15" s="1"/>
  <c r="C9" i="14"/>
  <c r="E8" i="14"/>
  <c r="D8" i="14"/>
  <c r="F18" i="15" s="1"/>
  <c r="H18" i="15" s="1"/>
  <c r="C8" i="14"/>
  <c r="E7" i="14"/>
  <c r="D7" i="14"/>
  <c r="F10" i="15" s="1"/>
  <c r="C7" i="14"/>
  <c r="E6" i="14"/>
  <c r="D6" i="14"/>
  <c r="F8" i="15" s="1"/>
  <c r="H8" i="15" s="1"/>
  <c r="C6" i="14"/>
  <c r="E5" i="14"/>
  <c r="D5" i="14"/>
  <c r="C5" i="14"/>
  <c r="E4" i="14"/>
  <c r="D4" i="14"/>
  <c r="F4" i="15" s="1"/>
  <c r="H4" i="15" s="1"/>
  <c r="C4" i="14"/>
  <c r="E3" i="14"/>
  <c r="D3" i="14"/>
  <c r="F3" i="15" s="1"/>
  <c r="H3" i="15" s="1"/>
  <c r="C3" i="14"/>
  <c r="C103" i="12"/>
  <c r="C80" i="12"/>
  <c r="C76" i="12"/>
  <c r="I47" i="12"/>
  <c r="D44" i="12"/>
  <c r="D49" i="12" s="1"/>
  <c r="D54" i="12" s="1"/>
  <c r="C40" i="12"/>
  <c r="C29" i="12"/>
  <c r="D16" i="12"/>
  <c r="D22" i="12" s="1"/>
  <c r="C10" i="14" l="1"/>
  <c r="F24" i="13"/>
  <c r="F55" i="13"/>
  <c r="F4" i="13"/>
  <c r="F12" i="13"/>
  <c r="F20" i="13"/>
  <c r="F33" i="13"/>
  <c r="F41" i="13"/>
  <c r="F74" i="13"/>
  <c r="F56" i="13"/>
  <c r="F48" i="13"/>
  <c r="F70" i="13"/>
  <c r="F14" i="7"/>
  <c r="F15" i="7"/>
  <c r="F20" i="7"/>
  <c r="F46" i="13"/>
  <c r="F45" i="13"/>
  <c r="F53" i="13"/>
  <c r="F35" i="13"/>
  <c r="F51" i="13"/>
  <c r="F59" i="13"/>
  <c r="F26" i="13"/>
  <c r="F42" i="13"/>
  <c r="F50" i="13"/>
  <c r="F58" i="13"/>
  <c r="F71" i="13"/>
  <c r="F5" i="13"/>
  <c r="F13" i="13"/>
  <c r="F21" i="13"/>
  <c r="F34" i="13"/>
  <c r="F39" i="13"/>
  <c r="F37" i="13"/>
  <c r="F54" i="13"/>
  <c r="F67" i="13"/>
  <c r="F49" i="13"/>
  <c r="F6" i="13"/>
  <c r="F14" i="13"/>
  <c r="F40" i="13"/>
  <c r="F9" i="13"/>
  <c r="F17" i="13"/>
  <c r="F25" i="13"/>
  <c r="F38" i="13"/>
  <c r="H10" i="15"/>
  <c r="H22" i="15" s="1"/>
  <c r="H24" i="15" s="1"/>
  <c r="F47" i="13"/>
  <c r="F52" i="13"/>
  <c r="F57" i="13"/>
  <c r="F7" i="13"/>
  <c r="F15" i="13"/>
  <c r="F23" i="13"/>
  <c r="F43" i="13"/>
  <c r="F10" i="13"/>
  <c r="F18" i="13"/>
  <c r="F68" i="13"/>
  <c r="F8" i="13"/>
  <c r="F16" i="13"/>
  <c r="F44" i="13"/>
  <c r="F66" i="13"/>
  <c r="F11" i="13"/>
  <c r="F19" i="13"/>
  <c r="F36" i="13"/>
  <c r="F69" i="13"/>
  <c r="F22" i="13"/>
  <c r="D107" i="12"/>
  <c r="D64" i="12"/>
  <c r="D62" i="12"/>
  <c r="D28" i="12"/>
  <c r="D61" i="12"/>
  <c r="D79" i="12"/>
  <c r="D80" i="12" s="1"/>
  <c r="D84" i="12" s="1"/>
  <c r="D59" i="12"/>
  <c r="D75" i="12"/>
  <c r="D27" i="12"/>
  <c r="D29" i="12" s="1"/>
  <c r="D52" i="12" s="1"/>
  <c r="D63" i="12"/>
  <c r="C65" i="12"/>
  <c r="D60" i="12"/>
  <c r="F32" i="13" l="1"/>
  <c r="F61" i="13" s="1"/>
  <c r="F65" i="13"/>
  <c r="F72" i="13"/>
  <c r="F73" i="13"/>
  <c r="F19" i="7"/>
  <c r="D36" i="12"/>
  <c r="D37" i="12"/>
  <c r="D33" i="12"/>
  <c r="D32" i="12"/>
  <c r="D39" i="12"/>
  <c r="D65" i="12"/>
  <c r="D38" i="12"/>
  <c r="D34" i="12"/>
  <c r="D35" i="12"/>
  <c r="D89" i="11" l="1"/>
  <c r="D89" i="12"/>
  <c r="D109" i="12"/>
  <c r="D40" i="12"/>
  <c r="D53" i="12" s="1"/>
  <c r="D55" i="12" s="1"/>
  <c r="D108" i="12" s="1"/>
  <c r="D71" i="12" l="1"/>
  <c r="D73" i="12"/>
  <c r="D70" i="12"/>
  <c r="D72" i="12"/>
  <c r="D74" i="12"/>
  <c r="G7" i="3" l="1"/>
  <c r="H7" i="3" s="1"/>
  <c r="D76" i="12"/>
  <c r="D83" i="12" s="1"/>
  <c r="D85" i="12" s="1"/>
  <c r="D110" i="12" s="1"/>
  <c r="C103" i="11" l="1"/>
  <c r="D91" i="11"/>
  <c r="C80" i="11"/>
  <c r="C76" i="11"/>
  <c r="D49" i="11"/>
  <c r="D54" i="11" s="1"/>
  <c r="C40" i="11"/>
  <c r="C29" i="11"/>
  <c r="D16" i="11"/>
  <c r="D22" i="11" s="1"/>
  <c r="C103" i="10"/>
  <c r="D91" i="10"/>
  <c r="C80" i="10"/>
  <c r="C76" i="10"/>
  <c r="D49" i="10"/>
  <c r="D54" i="10" s="1"/>
  <c r="I48" i="10"/>
  <c r="C40" i="10"/>
  <c r="D63" i="10" s="1"/>
  <c r="C29" i="10"/>
  <c r="D16" i="10"/>
  <c r="D22" i="10" s="1"/>
  <c r="C65" i="11" l="1"/>
  <c r="D63" i="11"/>
  <c r="D79" i="11"/>
  <c r="D80" i="11" s="1"/>
  <c r="D84" i="11" s="1"/>
  <c r="D107" i="11"/>
  <c r="D61" i="11"/>
  <c r="D62" i="11"/>
  <c r="D27" i="11"/>
  <c r="D28" i="11"/>
  <c r="D60" i="11"/>
  <c r="D64" i="11"/>
  <c r="D75" i="11"/>
  <c r="D59" i="11"/>
  <c r="C65" i="10"/>
  <c r="D59" i="10"/>
  <c r="D32" i="10"/>
  <c r="D75" i="10"/>
  <c r="D64" i="10"/>
  <c r="D62" i="10"/>
  <c r="D27" i="10"/>
  <c r="D29" i="10" s="1"/>
  <c r="D52" i="10" s="1"/>
  <c r="D33" i="10"/>
  <c r="D38" i="10"/>
  <c r="D61" i="10"/>
  <c r="D107" i="10"/>
  <c r="D28" i="10"/>
  <c r="D79" i="10"/>
  <c r="D80" i="10" s="1"/>
  <c r="D84" i="10" s="1"/>
  <c r="D60" i="10"/>
  <c r="D65" i="11" l="1"/>
  <c r="D29" i="11"/>
  <c r="D36" i="10"/>
  <c r="D37" i="10"/>
  <c r="D65" i="10"/>
  <c r="D35" i="10"/>
  <c r="D34" i="10"/>
  <c r="D40" i="10" s="1"/>
  <c r="D53" i="10" s="1"/>
  <c r="D55" i="10" s="1"/>
  <c r="D108" i="10" s="1"/>
  <c r="D39" i="10"/>
  <c r="D52" i="11" l="1"/>
  <c r="D35" i="11"/>
  <c r="D37" i="11"/>
  <c r="D34" i="11"/>
  <c r="D33" i="11"/>
  <c r="D36" i="11"/>
  <c r="D39" i="11"/>
  <c r="D38" i="11"/>
  <c r="D32" i="11"/>
  <c r="D109" i="11"/>
  <c r="D72" i="10"/>
  <c r="D74" i="10"/>
  <c r="D73" i="10"/>
  <c r="D109" i="10"/>
  <c r="D71" i="10"/>
  <c r="D70" i="10"/>
  <c r="D76" i="10" l="1"/>
  <c r="D83" i="10" s="1"/>
  <c r="D85" i="10" s="1"/>
  <c r="D110" i="10" s="1"/>
  <c r="D40" i="11"/>
  <c r="D53" i="11" s="1"/>
  <c r="D55" i="11" s="1"/>
  <c r="D108" i="11" l="1"/>
  <c r="D73" i="11"/>
  <c r="D70" i="11"/>
  <c r="D74" i="11"/>
  <c r="D72" i="11"/>
  <c r="D71" i="11"/>
  <c r="D76" i="11" l="1"/>
  <c r="D83" i="11" s="1"/>
  <c r="D85" i="11" s="1"/>
  <c r="D110" i="11" s="1"/>
  <c r="F4" i="6" l="1"/>
  <c r="D107" i="5"/>
  <c r="C103" i="5"/>
  <c r="C80" i="5"/>
  <c r="D79" i="5"/>
  <c r="D80" i="5" s="1"/>
  <c r="D84" i="5" s="1"/>
  <c r="C76" i="5"/>
  <c r="D75" i="5"/>
  <c r="D64" i="5"/>
  <c r="D62" i="5"/>
  <c r="D61" i="5"/>
  <c r="D60" i="5"/>
  <c r="D59" i="5"/>
  <c r="D49" i="5"/>
  <c r="D54" i="5" s="1"/>
  <c r="C40" i="5"/>
  <c r="C29" i="5"/>
  <c r="D28" i="5"/>
  <c r="D27" i="5"/>
  <c r="D29" i="5" s="1"/>
  <c r="C103" i="4"/>
  <c r="C80" i="4"/>
  <c r="C76" i="4"/>
  <c r="C60" i="4"/>
  <c r="D54" i="4"/>
  <c r="D49" i="4"/>
  <c r="I48" i="4"/>
  <c r="C40" i="4"/>
  <c r="C29" i="4"/>
  <c r="D16" i="4"/>
  <c r="D22" i="4" s="1"/>
  <c r="D75" i="4" s="1"/>
  <c r="D145" i="2"/>
  <c r="D144" i="2"/>
  <c r="C137" i="2"/>
  <c r="C136" i="2"/>
  <c r="C134" i="2" s="1"/>
  <c r="C135" i="2"/>
  <c r="C133" i="2"/>
  <c r="C132" i="2"/>
  <c r="D117" i="2"/>
  <c r="D121" i="2" s="1"/>
  <c r="D147" i="2" s="1"/>
  <c r="D112" i="2"/>
  <c r="D107" i="2"/>
  <c r="C96" i="2"/>
  <c r="D64" i="2"/>
  <c r="D50" i="2"/>
  <c r="D49" i="2"/>
  <c r="D54" i="2" s="1"/>
  <c r="D65" i="2" s="1"/>
  <c r="C35" i="2"/>
  <c r="D11" i="2"/>
  <c r="D17" i="2" s="1"/>
  <c r="C137" i="1"/>
  <c r="C136" i="1"/>
  <c r="C135" i="1"/>
  <c r="C134" i="1" s="1"/>
  <c r="C133" i="1"/>
  <c r="C132" i="1"/>
  <c r="D120" i="1"/>
  <c r="D119" i="1"/>
  <c r="D118" i="1"/>
  <c r="D117" i="1"/>
  <c r="D121" i="1" s="1"/>
  <c r="D147" i="1" s="1"/>
  <c r="D112" i="1"/>
  <c r="D107" i="1"/>
  <c r="C96" i="1"/>
  <c r="D65" i="1"/>
  <c r="D50" i="1"/>
  <c r="C35" i="1"/>
  <c r="D11" i="1"/>
  <c r="D17" i="1" s="1"/>
  <c r="C65" i="5" l="1"/>
  <c r="D60" i="4"/>
  <c r="D63" i="4"/>
  <c r="C65" i="4"/>
  <c r="D34" i="5"/>
  <c r="D33" i="5"/>
  <c r="D32" i="5"/>
  <c r="D39" i="5"/>
  <c r="D38" i="5"/>
  <c r="D37" i="5"/>
  <c r="D36" i="5"/>
  <c r="D52" i="5"/>
  <c r="D35" i="5"/>
  <c r="D40" i="2"/>
  <c r="D37" i="2"/>
  <c r="D23" i="2"/>
  <c r="D39" i="2"/>
  <c r="D73" i="2"/>
  <c r="D22" i="2"/>
  <c r="D24" i="2" s="1"/>
  <c r="D63" i="2" s="1"/>
  <c r="D75" i="2" s="1"/>
  <c r="D143" i="2"/>
  <c r="D22" i="1"/>
  <c r="G25" i="1"/>
  <c r="D94" i="1" s="1"/>
  <c r="D23" i="1"/>
  <c r="D143" i="1"/>
  <c r="C41" i="2"/>
  <c r="G25" i="2" s="1"/>
  <c r="D94" i="2" s="1"/>
  <c r="D59" i="4"/>
  <c r="D107" i="4"/>
  <c r="D79" i="4"/>
  <c r="D80" i="4" s="1"/>
  <c r="D84" i="4" s="1"/>
  <c r="D63" i="5"/>
  <c r="D65" i="5" s="1"/>
  <c r="D61" i="4"/>
  <c r="D27" i="4"/>
  <c r="D62" i="4"/>
  <c r="D28" i="4"/>
  <c r="D64" i="4"/>
  <c r="D40" i="5" l="1"/>
  <c r="D53" i="5" s="1"/>
  <c r="D55" i="5" s="1"/>
  <c r="D108" i="5" s="1"/>
  <c r="D109" i="5"/>
  <c r="D65" i="4"/>
  <c r="D34" i="2"/>
  <c r="G24" i="2"/>
  <c r="D38" i="2"/>
  <c r="D24" i="1"/>
  <c r="D33" i="2"/>
  <c r="D74" i="2"/>
  <c r="D72" i="2"/>
  <c r="D71" i="2"/>
  <c r="D70" i="2"/>
  <c r="D29" i="4"/>
  <c r="D35" i="2"/>
  <c r="D36" i="2"/>
  <c r="D93" i="11" l="1"/>
  <c r="D111" i="11" s="1"/>
  <c r="D112" i="11" s="1"/>
  <c r="D97" i="11" s="1"/>
  <c r="D93" i="12"/>
  <c r="D111" i="12" s="1"/>
  <c r="D112" i="12" s="1"/>
  <c r="D97" i="12" s="1"/>
  <c r="D72" i="5"/>
  <c r="D63" i="1"/>
  <c r="D36" i="1"/>
  <c r="D37" i="1"/>
  <c r="D34" i="1"/>
  <c r="D39" i="1"/>
  <c r="D40" i="1"/>
  <c r="D38" i="1"/>
  <c r="D35" i="1"/>
  <c r="D33" i="1"/>
  <c r="D41" i="1" s="1"/>
  <c r="D64" i="1" s="1"/>
  <c r="G24" i="1"/>
  <c r="D74" i="5"/>
  <c r="D70" i="5"/>
  <c r="D52" i="4"/>
  <c r="D38" i="4"/>
  <c r="D36" i="4"/>
  <c r="D34" i="4"/>
  <c r="D37" i="4"/>
  <c r="D32" i="4"/>
  <c r="D35" i="4"/>
  <c r="D39" i="4"/>
  <c r="D33" i="4"/>
  <c r="D109" i="4"/>
  <c r="D73" i="5"/>
  <c r="D92" i="2"/>
  <c r="D90" i="2"/>
  <c r="D96" i="2" s="1"/>
  <c r="D111" i="2" s="1"/>
  <c r="D113" i="2" s="1"/>
  <c r="D146" i="2" s="1"/>
  <c r="D95" i="2"/>
  <c r="D91" i="2"/>
  <c r="D93" i="2"/>
  <c r="D71" i="5"/>
  <c r="D98" i="11" l="1"/>
  <c r="D101" i="11" s="1"/>
  <c r="D98" i="12"/>
  <c r="D101" i="12" s="1"/>
  <c r="D132" i="2"/>
  <c r="D148" i="2"/>
  <c r="D74" i="1"/>
  <c r="D72" i="1"/>
  <c r="D71" i="1"/>
  <c r="D66" i="1"/>
  <c r="D75" i="1"/>
  <c r="D70" i="1"/>
  <c r="D76" i="5"/>
  <c r="D83" i="5" s="1"/>
  <c r="D85" i="5" s="1"/>
  <c r="D110" i="5" s="1"/>
  <c r="D40" i="4"/>
  <c r="D53" i="4" s="1"/>
  <c r="D55" i="4" s="1"/>
  <c r="D95" i="1"/>
  <c r="D93" i="1"/>
  <c r="D92" i="1"/>
  <c r="D91" i="1"/>
  <c r="D90" i="1"/>
  <c r="D96" i="1" s="1"/>
  <c r="D111" i="1" s="1"/>
  <c r="D113" i="1" s="1"/>
  <c r="D146" i="1" s="1"/>
  <c r="D100" i="11" l="1"/>
  <c r="D102" i="11"/>
  <c r="D100" i="12"/>
  <c r="D102" i="12"/>
  <c r="D144" i="1"/>
  <c r="D73" i="1"/>
  <c r="D108" i="4"/>
  <c r="D71" i="4"/>
  <c r="D74" i="4"/>
  <c r="D73" i="4"/>
  <c r="D72" i="4"/>
  <c r="D70" i="4"/>
  <c r="D76" i="1"/>
  <c r="D145" i="1" s="1"/>
  <c r="D138" i="2"/>
  <c r="D149" i="2" s="1"/>
  <c r="D133" i="2"/>
  <c r="D150" i="2" s="1"/>
  <c r="D103" i="12" l="1"/>
  <c r="D113" i="12" s="1"/>
  <c r="D114" i="12" s="1"/>
  <c r="E17" i="14" s="1"/>
  <c r="D76" i="4"/>
  <c r="D83" i="4" s="1"/>
  <c r="D85" i="4" s="1"/>
  <c r="D110" i="4" s="1"/>
  <c r="D103" i="11"/>
  <c r="D113" i="11" s="1"/>
  <c r="D114" i="11" s="1"/>
  <c r="D137" i="2"/>
  <c r="D135" i="2"/>
  <c r="D134" i="2"/>
  <c r="D136" i="2"/>
  <c r="D132" i="1"/>
  <c r="D148" i="1"/>
  <c r="F4" i="14" l="1"/>
  <c r="F6" i="14"/>
  <c r="F3" i="14"/>
  <c r="D115" i="12"/>
  <c r="E18" i="14"/>
  <c r="F9" i="14"/>
  <c r="F8" i="14"/>
  <c r="F7" i="14"/>
  <c r="F5" i="14"/>
  <c r="D138" i="1"/>
  <c r="D149" i="1" s="1"/>
  <c r="D133" i="1"/>
  <c r="D150" i="1" s="1"/>
  <c r="G6" i="14" l="1"/>
  <c r="H6" i="14" s="1"/>
  <c r="I6" i="14" s="1"/>
  <c r="G7" i="14"/>
  <c r="H7" i="14" s="1"/>
  <c r="I7" i="14" s="1"/>
  <c r="G3" i="14"/>
  <c r="H3" i="14" s="1"/>
  <c r="I3" i="14" s="1"/>
  <c r="G4" i="14"/>
  <c r="H4" i="14" s="1"/>
  <c r="I4" i="14" s="1"/>
  <c r="G9" i="14"/>
  <c r="H9" i="14" s="1"/>
  <c r="I9" i="14" s="1"/>
  <c r="G8" i="14"/>
  <c r="H8" i="14" s="1"/>
  <c r="I8" i="14" s="1"/>
  <c r="G5" i="14"/>
  <c r="H5" i="14" s="1"/>
  <c r="I5" i="14" s="1"/>
  <c r="D137" i="1"/>
  <c r="D135" i="1"/>
  <c r="D134" i="1"/>
  <c r="D136" i="1"/>
  <c r="F3" i="7"/>
  <c r="F5" i="7"/>
  <c r="F6" i="7"/>
  <c r="F7" i="7"/>
  <c r="I10" i="14" l="1"/>
  <c r="I11" i="14" s="1"/>
  <c r="G6" i="3" s="1"/>
  <c r="H6" i="3" s="1"/>
  <c r="F4" i="7" l="1"/>
  <c r="F9" i="7" s="1"/>
  <c r="D89" i="4" l="1"/>
  <c r="D93" i="4" s="1"/>
  <c r="D111" i="4" s="1"/>
  <c r="D112" i="4" s="1"/>
  <c r="D97" i="4" s="1"/>
  <c r="D98" i="4" s="1"/>
  <c r="D101" i="4" s="1"/>
  <c r="D89" i="10"/>
  <c r="D93" i="10" s="1"/>
  <c r="D111" i="10" s="1"/>
  <c r="D112" i="10" s="1"/>
  <c r="D97" i="10" s="1"/>
  <c r="D98" i="10" s="1"/>
  <c r="D102" i="10" s="1"/>
  <c r="D89" i="5"/>
  <c r="D93" i="5" s="1"/>
  <c r="D111" i="5" s="1"/>
  <c r="D112" i="5" s="1"/>
  <c r="D97" i="5" s="1"/>
  <c r="D98" i="5" l="1"/>
  <c r="D100" i="5" s="1"/>
  <c r="D101" i="10"/>
  <c r="D102" i="4"/>
  <c r="D100" i="10"/>
  <c r="D100" i="4"/>
  <c r="D103" i="10" l="1"/>
  <c r="D113" i="10" s="1"/>
  <c r="D114" i="10" s="1"/>
  <c r="D102" i="5"/>
  <c r="D103" i="4"/>
  <c r="D113" i="4" s="1"/>
  <c r="D114" i="4" s="1"/>
  <c r="G3" i="3" s="1"/>
  <c r="H3" i="3" s="1"/>
  <c r="D101" i="5"/>
  <c r="D115" i="10" l="1"/>
  <c r="G5" i="3" s="1"/>
  <c r="H5" i="3" s="1"/>
  <c r="D103" i="5"/>
  <c r="D113" i="5" s="1"/>
  <c r="D114" i="5" s="1"/>
  <c r="D115" i="5" l="1"/>
  <c r="G4" i="3" s="1"/>
  <c r="H4" i="3" s="1"/>
  <c r="H8" i="3" s="1"/>
  <c r="H9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16" authorId="0" shapeId="0" xr:uid="{00000000-0006-0000-0000-000001000000}">
      <text>
        <r>
          <rPr>
            <sz val="11"/>
            <color rgb="FF000000"/>
            <rFont val="Calibri"/>
            <family val="2"/>
            <charset val="1"/>
          </rPr>
          <t xml:space="preserve">Daniel Carlos:
</t>
        </r>
        <r>
          <rPr>
            <sz val="9"/>
            <rFont val="Tahoma"/>
            <family val="2"/>
            <charset val="1"/>
          </rPr>
          <t>Valores que constam no caderno técnico. A unidade deve realizar pesquisa de mercado para o levantamento do percentual médio destas rubricas.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16" authorId="0" shapeId="0" xr:uid="{00000000-0006-0000-0100-000001000000}">
      <text>
        <r>
          <rPr>
            <sz val="11"/>
            <color rgb="FF000000"/>
            <rFont val="Calibri"/>
            <family val="2"/>
            <charset val="1"/>
          </rPr>
          <t xml:space="preserve">Daniel Carlos:
</t>
        </r>
        <r>
          <rPr>
            <sz val="9"/>
            <rFont val="Tahoma"/>
            <family val="2"/>
            <charset val="1"/>
          </rPr>
          <t>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<sst xmlns="http://schemas.openxmlformats.org/spreadsheetml/2006/main" count="1932" uniqueCount="453">
  <si>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</si>
  <si>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</si>
  <si>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</si>
  <si>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</si>
  <si>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</si>
  <si>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</si>
  <si>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</si>
  <si>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</si>
  <si>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</si>
  <si>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</si>
  <si>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</si>
  <si>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</si>
  <si>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</si>
  <si>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CCT PB000199/2019 (Grupo 01)</t>
  </si>
  <si>
    <t>Dias de Trabalho no mês</t>
  </si>
  <si>
    <t>Categoria Profissional</t>
  </si>
  <si>
    <t xml:space="preserve"> CCT PB000199/2019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</si>
  <si>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</si>
  <si>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</si>
  <si>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</si>
  <si>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</si>
  <si>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</si>
  <si>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</si>
  <si>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</si>
  <si>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</si>
  <si>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</si>
  <si>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</si>
  <si>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</si>
  <si>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</si>
  <si>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</si>
  <si>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</si>
  <si>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</si>
  <si>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</si>
  <si>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</si>
  <si>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</si>
  <si>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</si>
  <si>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</si>
  <si>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</si>
  <si>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</si>
  <si>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</si>
  <si>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</si>
  <si>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</si>
  <si>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</si>
  <si>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</si>
  <si>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</si>
  <si>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</si>
  <si>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</si>
  <si>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</si>
  <si>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</si>
  <si>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 e Adicional de Férias</t>
  </si>
  <si>
    <t>ISS</t>
  </si>
  <si>
    <t>2.1</t>
  </si>
  <si>
    <t>13º (décimo terceiro) Salário e Adicional de Férias</t>
  </si>
  <si>
    <t>13º (décimo terceiro) Salário</t>
  </si>
  <si>
    <t>Base de Cálculo para o Custo do Profissional Ausente</t>
  </si>
  <si>
    <t>Adicional de Férias</t>
  </si>
  <si>
    <t>BCPPA</t>
  </si>
  <si>
    <t>BCPPA (Afastamento Maternidade)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</si>
  <si>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</si>
  <si>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</si>
  <si>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</si>
  <si>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</si>
  <si>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</si>
  <si>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</si>
  <si>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</si>
  <si>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(1 ÷ 3)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</si>
  <si>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</si>
  <si>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</si>
  <si>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</si>
  <si>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</si>
  <si>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</si>
  <si>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</si>
  <si>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</si>
  <si>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</si>
  <si>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</si>
  <si>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</si>
  <si>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</si>
  <si>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</si>
  <si>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</si>
  <si>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</si>
  <si>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</si>
  <si>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</si>
  <si>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</si>
  <si>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</si>
  <si>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</si>
  <si>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</si>
  <si>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</si>
  <si>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</si>
  <si>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</si>
  <si>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Seguro de Vida</t>
  </si>
  <si>
    <t>Auxílio-Morte/Funeral</t>
  </si>
  <si>
    <t>Cláusula Décima Sexta da CCT</t>
  </si>
  <si>
    <t>Benefício Odontológico</t>
  </si>
  <si>
    <t>Cláusula Décima Quarta da CCT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</si>
  <si>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</si>
  <si>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</si>
  <si>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</si>
  <si>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</si>
  <si>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</si>
  <si>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</si>
  <si>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</si>
  <si>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</si>
  <si>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</si>
  <si>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</si>
  <si>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</si>
  <si>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</si>
  <si>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</si>
  <si>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</si>
  <si>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</si>
  <si>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</si>
  <si>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</si>
  <si>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</si>
  <si>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</si>
  <si>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</si>
  <si>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</si>
  <si>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</si>
  <si>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</si>
  <si>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</si>
  <si>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</si>
  <si>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</si>
  <si>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</si>
  <si>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</si>
  <si>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</si>
  <si>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</si>
  <si>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</si>
  <si>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</si>
  <si>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</si>
  <si>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</si>
  <si>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</si>
  <si>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</si>
  <si>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</si>
  <si>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</si>
  <si>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</si>
  <si>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</si>
  <si>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A, B, C, D e F</t>
  </si>
  <si>
    <t>Valor das rubricas</t>
  </si>
  <si>
    <t xml:space="preserve">Custo diário para o repositor = (Módulo 1 + SubMódulo 2.1 + (Módulo1 / 12) * (100% + Submódulo 2.2 (%)) / 30 </t>
  </si>
  <si>
    <t>(Base de cálculo x Dias de Ausência) / 12</t>
  </si>
  <si>
    <t>Valor das Rubricas</t>
  </si>
  <si>
    <t>Custo diário para o repositor (afastamento maternidade) = ([Módulo 1 x (1 +1/3) x (100% + % sbmódulo 2.2) ]/12 )/ 30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</si>
  <si>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</si>
  <si>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</si>
  <si>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</si>
  <si>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</si>
  <si>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</si>
  <si>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</si>
  <si>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</si>
  <si>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</si>
  <si>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</si>
  <si>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</si>
  <si>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</si>
  <si>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</si>
  <si>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</si>
  <si>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</si>
  <si>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</si>
  <si>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</si>
  <si>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</si>
  <si>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</si>
  <si>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</si>
  <si>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</si>
  <si>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</si>
  <si>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</si>
  <si>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</si>
  <si>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</si>
  <si>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</si>
  <si>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</si>
  <si>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</si>
  <si>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</si>
  <si>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</si>
  <si>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</si>
  <si>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</si>
  <si>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</si>
  <si>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</si>
  <si>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Encarregado</t>
  </si>
  <si>
    <t>QUADRO RESUMO DE PREÇOS ESTIMADOS</t>
  </si>
  <si>
    <t>ITEM</t>
  </si>
  <si>
    <t>CATSER/CATMAT</t>
  </si>
  <si>
    <t>DESCRIÇÃO</t>
  </si>
  <si>
    <t>UNID.</t>
  </si>
  <si>
    <t>QUANTIDADE/MESES</t>
  </si>
  <si>
    <t>QUANTIDADE DE PESSOAS/PROFISSIONAIS</t>
  </si>
  <si>
    <t>VALOR MENSAL</t>
  </si>
  <si>
    <t>VALOR ANUAL</t>
  </si>
  <si>
    <t>2394-25</t>
  </si>
  <si>
    <t>PSICOPEDAGOGO</t>
  </si>
  <si>
    <t>POSTO DE 44H</t>
  </si>
  <si>
    <t>5162-10</t>
  </si>
  <si>
    <t>CUIDADOR</t>
  </si>
  <si>
    <t>ESTIMATIVO TOTAL ANUAL</t>
  </si>
  <si>
    <t>ESTIMATIVO TOTAL MENSAL</t>
  </si>
  <si>
    <t>DISCRIMINAÇÃO DOS SERVIÇOS (DADOS REFERENTES À CONTRATAÇÃO)</t>
  </si>
  <si>
    <t>Data de apresentação da proposta (dia/mês/ano):</t>
  </si>
  <si>
    <t>Município - ISSQN</t>
  </si>
  <si>
    <t>ISSQN 5 % (cinco por cento)</t>
  </si>
  <si>
    <t>Ano do Acordo, Convenção ou Dissídio Coletivo:</t>
  </si>
  <si>
    <t>CCT PB000517/2021</t>
  </si>
  <si>
    <t>Número de meses de execução contratual:</t>
  </si>
  <si>
    <t>12 (doze) meses</t>
  </si>
  <si>
    <t>MÃO DE OBRA VINCULADA À EXECUÇÃO CONTRATUAL</t>
  </si>
  <si>
    <t>TIPO DO SERVIÇO/CATEGORIA</t>
  </si>
  <si>
    <t>CBO</t>
  </si>
  <si>
    <t>QUANTIDADE TOTAL</t>
  </si>
  <si>
    <t>Psicopedagogo</t>
  </si>
  <si>
    <t>SALÁRIO BASE DA CATEGORIA</t>
  </si>
  <si>
    <t>MÓDULO 1 -  Composição da Remuneração</t>
  </si>
  <si>
    <t>1 - Composição da Remuneração</t>
  </si>
  <si>
    <t>R$</t>
  </si>
  <si>
    <t>Salário-base</t>
  </si>
  <si>
    <t>Adicional de periculosidade</t>
  </si>
  <si>
    <t>Adicional de insalubridade</t>
  </si>
  <si>
    <t>Adicional noturno</t>
  </si>
  <si>
    <t xml:space="preserve">TOTAL </t>
  </si>
  <si>
    <t>MÓDULO 2 - Encargos e Benefícios Anuais, Mensais e Diários</t>
  </si>
  <si>
    <t>Submódulo 2.1 - 13º (décimo terceiro) Salário, Férias e Adicional de Férias</t>
  </si>
  <si>
    <t>2.1 - 13º (décimo terceiro) Salário, Férias e Adicional de Férias</t>
  </si>
  <si>
    <t>Férias e Adicional de Férias</t>
  </si>
  <si>
    <t>2.2 - Encargos Previdenciários (GPS), Fundo de Garantia por Tempo de Serviço (FGTS) e outras contribuições</t>
  </si>
  <si>
    <t>2.2 - GPS, FGTS e outras contribuições</t>
  </si>
  <si>
    <t>SESI/SESC</t>
  </si>
  <si>
    <t>SENAI/SENAC</t>
  </si>
  <si>
    <t>Seguro acidente do trabalho – RAT x FAP</t>
  </si>
  <si>
    <t>Submódulo 2.3 - Benefícios Mensais e Diários</t>
  </si>
  <si>
    <t>2.3 - Benefícios Mensais e Diários</t>
  </si>
  <si>
    <t>DIAS</t>
  </si>
  <si>
    <t>TOTAL (R$)</t>
  </si>
  <si>
    <t>Intervalo Intrajornada</t>
  </si>
  <si>
    <t>VALE ALIMENTAÇÃO</t>
  </si>
  <si>
    <t>Auxílio morte/funeral</t>
  </si>
  <si>
    <t>Outros (plano de assistência familiar e social)</t>
  </si>
  <si>
    <t>TOTAL</t>
  </si>
  <si>
    <t>2 - Encargos e Benefícios Anuais, Mensais e Diários</t>
  </si>
  <si>
    <t>13º (décimo terceiro) Salário, Férias e Adicional de Férias</t>
  </si>
  <si>
    <t>MÓDULO 3 - Provisão para Rescisão</t>
  </si>
  <si>
    <t>3 - Provisão para Rescisão</t>
  </si>
  <si>
    <t xml:space="preserve">Incidência do FGTS sobre aviso prévio indenizado </t>
  </si>
  <si>
    <t xml:space="preserve">Multa sobre FGTS e contribuições sociais sobre o aviso prévio indenizado </t>
  </si>
  <si>
    <t>Aviso prévio trabalhado</t>
  </si>
  <si>
    <t>Incidência de GPS, FGTS e outras contribuições sobre o Aviso Prévio Trabalhado</t>
  </si>
  <si>
    <t>MÓDULO 4 - Custo de Reposição do Profissional Ausente</t>
  </si>
  <si>
    <t>4.1 - Substituto nas Ausências Legais</t>
  </si>
  <si>
    <t>Substituto na cobertura de Outras ausências (especificar)</t>
  </si>
  <si>
    <t>4.2 - Substituto na Intrajornada</t>
  </si>
  <si>
    <t>4 - Custo de Reposição do Profissional Ausente</t>
  </si>
  <si>
    <t>MÓDULO 5 - Insumos Diversos</t>
  </si>
  <si>
    <t>5 - Insumos Diversos</t>
  </si>
  <si>
    <t>TOTAL DE INSUMOS</t>
  </si>
  <si>
    <t>MÓDULO 6 - Custos Indiretos, Tributos e Lucro</t>
  </si>
  <si>
    <t>6 - Custos Indiretos, Tributos e Lucro</t>
  </si>
  <si>
    <t>CUSTOS INDIRETOS</t>
  </si>
  <si>
    <t>LUCRO</t>
  </si>
  <si>
    <t>TRIBUTOS</t>
  </si>
  <si>
    <t xml:space="preserve">     C1. ISS</t>
  </si>
  <si>
    <t xml:space="preserve">     C2. COFINS</t>
  </si>
  <si>
    <t xml:space="preserve">     C3. PIS</t>
  </si>
  <si>
    <t>TOTAL - CUSTOS INDIRETOS, TRIBUTOS E LUCRO</t>
  </si>
  <si>
    <t xml:space="preserve">QUADRO-RESUMO DO CUSTO POR EMPREGADO </t>
  </si>
  <si>
    <t>1 - REMUNERAÇÃO</t>
  </si>
  <si>
    <t>Módulo 1 – Composição da remuneração</t>
  </si>
  <si>
    <t>Subtotal (A+B+C+D+E)</t>
  </si>
  <si>
    <t>Módulo 5 – Custos indiretos, tributos e lucro</t>
  </si>
  <si>
    <t>TOTAL  POR EMPREGADO</t>
  </si>
  <si>
    <t>Cuidador</t>
  </si>
  <si>
    <t>TOTAL  PARA DOIS EMPREGADOS</t>
  </si>
  <si>
    <t>EQUIPAMENTOS</t>
  </si>
  <si>
    <t>UNIDADE</t>
  </si>
  <si>
    <t xml:space="preserve">  VALOR UNITÁRIO ESTIMADO (R$) </t>
  </si>
  <si>
    <t>QUANTIDADE</t>
  </si>
  <si>
    <t>VALOR TOTAL  (R$)</t>
  </si>
  <si>
    <t>Relógio de ponto biométrico</t>
  </si>
  <si>
    <t>Manutenção mensal (0,25% ao ano)</t>
  </si>
  <si>
    <t>Depreciação mensal (10% ao ano)</t>
  </si>
  <si>
    <t>Custo Total Mensal dos Equipamentos (Manutenção + Depreciação)</t>
  </si>
  <si>
    <t xml:space="preserve">Masc: Sapato social preto. Fem: sapato social fechado com salto médio, na cor preta. </t>
  </si>
  <si>
    <t>PAR</t>
  </si>
  <si>
    <t>Meias sociais, tecido algodão, cor preta.</t>
  </si>
  <si>
    <t>Crachá de identificação PVC, foto colorida e cordão</t>
  </si>
  <si>
    <t>Custo Mensal por TERCEIRIZADO</t>
  </si>
  <si>
    <t>UND</t>
  </si>
  <si>
    <t>VALOR UNIT</t>
  </si>
  <si>
    <t>Apoio Escolar</t>
  </si>
  <si>
    <t>3341-10</t>
  </si>
  <si>
    <t>Transporte*</t>
  </si>
  <si>
    <t>*Não há transporte público regulamentado</t>
  </si>
  <si>
    <t>Relógio de Ponto Biométrico Digital</t>
  </si>
  <si>
    <t>ENCARREGADO</t>
  </si>
  <si>
    <t>4101-05</t>
  </si>
  <si>
    <t>Outros (Gratificação adicional)</t>
  </si>
  <si>
    <t>Outros (Relógio de Ponto Biométrico)</t>
  </si>
  <si>
    <t>APOIO ESCOLAR</t>
  </si>
  <si>
    <t>PRESTAÇÃO DE SERVIÇO DE LIMPEZA E CONSERVAÇÃO  - ÁREAS INTERNAS, EXTERNAS E ESQUADRIAS EXTERNAS</t>
  </si>
  <si>
    <t>M²</t>
  </si>
  <si>
    <t>Auxiliar de Serviços Gerais</t>
  </si>
  <si>
    <t>5143-20</t>
  </si>
  <si>
    <t>VALOR UNITÁRIO</t>
  </si>
  <si>
    <t>Outros (Auxílio Morte/Funeral)</t>
  </si>
  <si>
    <t>TOTAL PARA SEIS EMPREGADOS</t>
  </si>
  <si>
    <t>MATERIAL MENSAL</t>
  </si>
  <si>
    <t>Álcool gel de 1ª qualidade, álcool etílico hidratado 70° INPM, com registro ANVISA</t>
  </si>
  <si>
    <t>LITRO</t>
  </si>
  <si>
    <t>Água sanitária de 1ª qualidade, com registro ANVISA</t>
  </si>
  <si>
    <t>5L</t>
  </si>
  <si>
    <t>Cera líquida impermeabilizante de acabamento, a base de polímeros acrílicos sintéticos puros de alta resistência à abrasão. Efeito piso molhado. Apresentar alto teor de sólidos em sua composição, de 27% a 30% (ideal CA 30%) demonstrados em sua ficha técnica. Deve apresentar secagem rápida, fluidez na aplicação, fácil manutenção, alta durabilidade e desempenho. Bombona com 5 litros. O produto deve conter ficha técnica e de segurança. Registro do produto junto a ANVISA.</t>
  </si>
  <si>
    <t>Lustra móveis, líquido, pronto para uso, acondicionamento em fransco de 500ml</t>
  </si>
  <si>
    <t>UNID</t>
  </si>
  <si>
    <t>Cloro Líquido</t>
  </si>
  <si>
    <t>Desinfetante para banheiros e sanitários com registro ANVISA – bombona de 5 litros</t>
  </si>
  <si>
    <t>Detergente líquido para limpeza de superfícies, 100% biodegradável com Registro ANVISA</t>
  </si>
  <si>
    <t xml:space="preserve">Papel higiênico de 1ª qualidade, contendo ao menos 30m cada rolo, folha dupla, pacote com 12 un; 100% fibra celulósica. Desejável certificação FSC ou equivalente. Marca de referência: Neve ou similar. </t>
  </si>
  <si>
    <t>PACOTE</t>
  </si>
  <si>
    <t>Sabonete líquido de de 1° qualidade (de odor agradável), com ph neutro concentrado  com Registro ANVISA</t>
  </si>
  <si>
    <t>Papel Toalha Interfolhas, branco, 100% Celulose</t>
  </si>
  <si>
    <t>Esponja de Nylon, pacote com 03 unid</t>
  </si>
  <si>
    <t>Flanela, tamanho 38cmx58 cm, consistência grossa</t>
  </si>
  <si>
    <t>Insetiscida spray 420ml (mata tudo), registro na ANVISA</t>
  </si>
  <si>
    <t>Palha de aço, tipo fina, de 8 unidades.</t>
  </si>
  <si>
    <t>Pano de chão em algodão, tamanho mínimo de 60x40</t>
  </si>
  <si>
    <t xml:space="preserve">Alvejante Multiuso, registro na ANVISA. </t>
  </si>
  <si>
    <t xml:space="preserve">Pastilhas sanitárias adesivas, com registro na ANVISA. </t>
  </si>
  <si>
    <t>PACOTE C/ 3 UNID.</t>
  </si>
  <si>
    <t>Desodorizador de ar, cada unidade contendo 360 a 440 ml, com Registro ANVISA, não agressivo à camada de ozônio.</t>
  </si>
  <si>
    <t>TUBO</t>
  </si>
  <si>
    <t xml:space="preserve">Sabão líquido, registro na ANVISA. </t>
  </si>
  <si>
    <t>Saco para lixo, de 100 litros, fardo com 100 unidades, várias cores</t>
  </si>
  <si>
    <t>FARDO</t>
  </si>
  <si>
    <t>Saco para lixo, de 60 litros, fardo com 100 unidades, várias cores</t>
  </si>
  <si>
    <t>Limpa vidros concentrado, cada unidade com 500ml</t>
  </si>
  <si>
    <t>SACO PARA LIXO 25 L - Saco plástico para lixo, capacidade: 25 l, largura: 50cm, altura: 58 cm,Embalagem com 100 unidades.</t>
  </si>
  <si>
    <t>Luvas multiuso, para limpeza doméstica, em látex, flexíveis e resistentes, com bordas ajustadas para aumentar a proteção e evitar a entrada de água.</t>
  </si>
  <si>
    <t>MATERIAL SEMESTRAL</t>
  </si>
  <si>
    <t>Desentupidor de pia, tamanho grande.</t>
  </si>
  <si>
    <t>Desentupidor de sanitário, tamanho grande.</t>
  </si>
  <si>
    <t xml:space="preserve">Contêiner Plástico 240 litros com tampa e rodas de borracha maciça, material em plastico e resistente.  </t>
  </si>
  <si>
    <t>Máscara Descartável - c/ registro na ANVISA</t>
  </si>
  <si>
    <t>CAIXA C/ 100</t>
  </si>
  <si>
    <t>Escova de lavar louça/banheiro</t>
  </si>
  <si>
    <t>Espanador de teto com cabo de 2 metros.</t>
  </si>
  <si>
    <t xml:space="preserve"> Kit completo para limpeza de vidros, CONTENDO: Lavador de vidros 35 cm    Cabo de fixação; Guia removível ; Raspador de segurança .</t>
  </si>
  <si>
    <t xml:space="preserve">Mangueira flexível trançada, com 3 camadas, camada interna e externa de PVC, camada intermediária de poliéster, pressão máxima suportada 10 Bar / 145 Psi, 1/2 Polegada, 100 metros, garantia de 3 meses. </t>
  </si>
  <si>
    <t>Pá para lixo em metal, tamanho médio, cabo longo em madeira.</t>
  </si>
  <si>
    <t>Rodo com duas borrachas - 40cm de largura, com cabo</t>
  </si>
  <si>
    <t>Ácido muriático</t>
  </si>
  <si>
    <t>Soda caustica com 1kg</t>
  </si>
  <si>
    <t>KG</t>
  </si>
  <si>
    <t>Veneno para formiga em pó, com Registro nos orgão especializados .</t>
  </si>
  <si>
    <t>Vassourão piaçava tipo pêlo - 60 cm, com cabo de 120cm a 140cm</t>
  </si>
  <si>
    <t>Vassoura de pêlo sintético, 30cm, com cabo de 120cm</t>
  </si>
  <si>
    <t>Vassoura de piaçava, 30 cm, com cabo de 120cm a 140cm</t>
  </si>
  <si>
    <t>Vassourinha para sanitário em plástico</t>
  </si>
  <si>
    <t>EXTENSÃO ELÉTRICA - Extensão elétrica, comprimento: 30 m, componentes: 1 plugue macho e 1 plugue fêmea, características adicionais: diâmetro do fio 8mm, tensão nominal: 250 v, material: termoplástico anti-chama, corrente nominal: 10 A</t>
  </si>
  <si>
    <t>Inseticida líquido,  sendo o produto  eficaz  no controle de escorpiao,  formigas, mosquitos, pulgas, aranhas, baratas, carrapatos, moscas e percevejos. Registro nos orgão Federais de controle do produto.</t>
  </si>
  <si>
    <t>1L</t>
  </si>
  <si>
    <t>Luva de couro</t>
  </si>
  <si>
    <t>DISPENSER PARA PAPEL TOALHA - Dispenser papel toalha, interfolhada, material: plástico abs, cor: branca, características adicionais: fixação por bucha e parafusos, dimensões aproximadas: 32 x 27 x 14 cm.</t>
  </si>
  <si>
    <t>DISPENSER HIGIENIZADOR PARA SABONETE LÍQUIDO -  Dispenser higienizador, material: plástico abs, capacidade: 800 ml, tipo fixação: parede, cor: branca, aplicação: mãos, características adicionais: visor frontal para sabonete líquido.</t>
  </si>
  <si>
    <t>LIXEIRA 25 L - Lixeira, material: polipropileno, capacidade: 25 l, tipo: quadrada, cor: preta, características adicionais: com tampa com pedal.</t>
  </si>
  <si>
    <t>LIXEIRA 15 L - Lixeira, material: polipropileno, capacidade: 15 l, tipo: quadrada, cor: preta, características adicionais: com tampa vai e vem.</t>
  </si>
  <si>
    <t>LIXEIRA 100 L - Lixeira, material: polietileno de média densidade, capacidade: 100 l, tipo: basculante, altura: 1.010 mm, formato: quadrada, largura: 410 mm, peso: 6,5 kg, aplicação: coleta de lixo, comprimento: 410 mm</t>
  </si>
  <si>
    <t>REFIL MOP PÓ - Refil Mop Pó, composto por fios 100 % acrílicos, dimenções: 60 x 15 cm, sistema de fechamento por laços.</t>
  </si>
  <si>
    <t>REFÍL MOP ÚMIDO - Refil para mop esfregão úmido ponta dobrada, composição: 70% de algodão e 30% de poliéster, Ponta dobrada em loop 340g.</t>
  </si>
  <si>
    <t>Balde capacidade 10L em plástico resistente e com  alça de metal.</t>
  </si>
  <si>
    <t>VALOR TOTAL MENSAL - MATERIAL SEMESTRAL</t>
  </si>
  <si>
    <t>Carrinho de plataforma 300Kg</t>
  </si>
  <si>
    <t>Carro de mão</t>
  </si>
  <si>
    <t>Máquina de lavar à jato (alta pressão) com motor de no mínimo 1,6v (220v) e proteção térmica, pressão mínima de 1.300 ibf/pol², vazão mínima de 6L, sistema stop total, bico com paletas em aço inox para regulagem do jato e que permita várias opções de abertura de acordo com a necessidade do trabalho, gatilho com trava de segurança, mangueira de alta pressão com comprimento mínimo de 7 metros, recipiente para aplicação de detergente, carrinho para transporte com garantia de 12 meses em todo território nacional.</t>
  </si>
  <si>
    <t>Enxada com cabo de madeira</t>
  </si>
  <si>
    <t>Enceradeira industrial – com escova de diâmetro de no mínimo 40 cm, motor com potência de no min. ³/4 HP, tensão 220v, capacidade operacional de no mínimo 1000m²/h, c/ fio de tomada de no mínimo 10m, que venha com acessórios (disco/escova, de lavar e de lustrar, limpeza média e pesada) com garantia de 12 meses em todo território nacional.</t>
  </si>
  <si>
    <t>Facão de no mínimo 30 cm com cabo em plástico</t>
  </si>
  <si>
    <t>CARRINHO LIMPEZA MULTIFUNÇÃO - Carrinho de limpeza multifuncional composto por: Balde Doblô 30 litros – 2 águas, Cabo alumínio – 1,40 m, Haste Americana com cabo de alumínio, Refil úmidode em Algodão 320 g - Armação Mop Profi 60cm, Refil Mop Pó Profissional 60cm - Pá POP - Placa Sinalizadora piso molhado.</t>
  </si>
  <si>
    <t>Pá, tamanho grande para uso em construção, com cabo de madeira</t>
  </si>
  <si>
    <t>Ciscador comum, com cabo de madeira</t>
  </si>
  <si>
    <t>Foice Roçadeira Com Cabo de Madeira</t>
  </si>
  <si>
    <t>Custo Total Mensal dos Materiais e Equipamentos (MENSAL + SEMESTRAL + EQUIPAMENTOS)</t>
  </si>
  <si>
    <t>MATERIAIS E EQUIPAMENTOS</t>
  </si>
  <si>
    <t>ÁREAS E PRODUTIVIDADE - SERVIÇOS DE LIMPEZA</t>
  </si>
  <si>
    <t>QUANTIDADE (M²)</t>
  </si>
  <si>
    <t>KI*</t>
  </si>
  <si>
    <t>KI**</t>
  </si>
  <si>
    <t>PREÇO HOMEM -MÊS (ENCARREGADO)</t>
  </si>
  <si>
    <t>PREÇO M²</t>
  </si>
  <si>
    <t>Área Interna -  Piso frio</t>
  </si>
  <si>
    <t>Área Interna -  Laboratório</t>
  </si>
  <si>
    <t>Área Interna - Área com espaços livres - saguão, hall e salão</t>
  </si>
  <si>
    <t>Área Interna - Banheiro</t>
  </si>
  <si>
    <t>Área Externa - Varrição de Passeio e arruamentos</t>
  </si>
  <si>
    <t>Esquadria Externa - Face externa sem exposição  a situação de risco</t>
  </si>
  <si>
    <t>Esquadria Externa - Face interna</t>
  </si>
  <si>
    <t>* Índice Ki referente ao ASG</t>
  </si>
  <si>
    <t>** Índice  Ki referente ao Encarregado</t>
  </si>
  <si>
    <t>TIPO DE PROFISSIONAL</t>
  </si>
  <si>
    <t>VALOR UNITÁRIO  (MÊS)</t>
  </si>
  <si>
    <t>ASG</t>
  </si>
  <si>
    <t>Áreas Físicas</t>
  </si>
  <si>
    <t>Tipos de Áreas Físicas</t>
  </si>
  <si>
    <t>Produtividade Mínima (1/m²)</t>
  </si>
  <si>
    <t>Ki</t>
  </si>
  <si>
    <t>Quantitativo demandado</t>
  </si>
  <si>
    <t>I – Áreas Internas</t>
  </si>
  <si>
    <t>Pisos acarpetados</t>
  </si>
  <si>
    <t>Pisos frios</t>
  </si>
  <si>
    <t>Laboratórios</t>
  </si>
  <si>
    <t>Almoxarifados/galpões</t>
  </si>
  <si>
    <t>Oficinas</t>
  </si>
  <si>
    <t>Áreas com espaços livres - saguão, hall e salão</t>
  </si>
  <si>
    <t>Banheiros</t>
  </si>
  <si>
    <t>II - Áreas Externas</t>
  </si>
  <si>
    <t>Pisos pavimentados adjacentes/contíguos às edificações</t>
  </si>
  <si>
    <t>Varrição de passeios e arruamentos</t>
  </si>
  <si>
    <t>Pátios e áreas verdes com alta frequência</t>
  </si>
  <si>
    <t>Pátios e áreas verdes com média frequência</t>
  </si>
  <si>
    <t>Pátios e áreas verdes com baixa frequência</t>
  </si>
  <si>
    <t>V - Áreas Hospitalares e assemelhadas</t>
  </si>
  <si>
    <t>[1] Produtividade Mínima (1/m²) [1]</t>
  </si>
  <si>
    <t>[2] Frequência no mês (horas)</t>
  </si>
  <si>
    <t>[3] Jornada de trabalho no mês (Horas)</t>
  </si>
  <si>
    <t>III - Esquadrias Externas</t>
  </si>
  <si>
    <t>Face externa com exposição a situação de risco</t>
  </si>
  <si>
    <t>Face externa sem exposição a situação de risco</t>
  </si>
  <si>
    <t>Face interna</t>
  </si>
  <si>
    <t>[2] Frequência no semestre (horas)</t>
  </si>
  <si>
    <t>IV - Fachadas Envidraçadas</t>
  </si>
  <si>
    <t>Total de Encarregado (s)</t>
  </si>
  <si>
    <t>Total de Terceirizados</t>
  </si>
  <si>
    <t>KIT C/ 3 UNID</t>
  </si>
  <si>
    <t>Bota de polimérico termoplástico impermeável com forro, emborrachado, solado antiderrapante.</t>
  </si>
  <si>
    <t>Custo Mensal por ASG E ENCARREGADO</t>
  </si>
  <si>
    <t>UNIFORMES (PSICOPEDAGOGO, CUIDADOR, APOIO ESCOLAR)</t>
  </si>
  <si>
    <t>Roçadeira Lateral Gasolina Profissional 63cc Ohc 4 Tempos - Potência máxima: 2,238 kw-7000 rpm - (Acessórios inclusos: - Carretel de nylon - Lâmina 3 pontas - Cinto de suporte - Misturador óleo/gasolina - Kit de ferramentas)</t>
  </si>
  <si>
    <t>CONJUNTO</t>
  </si>
  <si>
    <t>Camisa tipo Polo em Piquet de Malha – 50% algodão e 50% poliéster, com mangas curtas, identificação da empresa na parte frontal. Cor: Branca.</t>
  </si>
  <si>
    <t>Manguito Proteção UV 50: Dimensões Aproximadas: P: 9x27,7 cm (L x C), G: 9,5x41 cm (L x P), Composição: 94% Poliamida e 6% Elastano; Proteção UV, Antimicrobial, Seamless Dry, Proteção Solar: Com FPS; Cor: azul marinho ou preto.</t>
  </si>
  <si>
    <t>Crachá de identificação em PVC com cordão,  contendo logomarca da empresa, foto colorida, nome completo do funcionário e função.</t>
  </si>
  <si>
    <t>UNIFORMES/EPI (ASG E ENCARREGADO)</t>
  </si>
  <si>
    <t>Meia, modelo cano alto, composição: 65% Algodão, 2% Lycra e 32% Poliamida. Cor: Preta, branca ou azul marinho.</t>
  </si>
  <si>
    <t>Protetor solar fator de proteção FPS 30 ou superior, 200ml, com data de validade não inferior a 1 ano a partir da data da entrega no campus.</t>
  </si>
  <si>
    <t>Boné árabe em brim 100% algodão para proteção da face em trabalhos a céu aberto.</t>
  </si>
  <si>
    <t>Calça com cós de elástico, dois bolsos frontais e dois bolsos na traseira, confeccionado em brim 100% algodão, sem partes metálicas. Cor: Azul marinho ou Preta.</t>
  </si>
  <si>
    <t>Masc: Camisa social, na cor BRANCA, de mangas curtas ou longas, tecido com o mínimo de 50% de fibras naturais, fechamento em botões, contendo a identificação da Contratada, com emblema/logomarca da empresa. Fem: Camisa social, na cor BRANCA, de mangas curtas ou longas, tecido com o mínimo de 50% de fibras naturais, fechamento em botões, contendo a identificação da Contratada, com emblema/logomarca da empresa.</t>
  </si>
  <si>
    <t>Gasolina (acondicionada em embalagem rígida, metálica ou não metálica, certificados pelo inmetro e fabricados para essa finalidade).</t>
  </si>
  <si>
    <t>Óleo para roçadeira eletrica 2 tempos, compativel com a roçadeira entregue (equipamentos), 500 ML</t>
  </si>
  <si>
    <t>500 ML</t>
  </si>
  <si>
    <t xml:space="preserve">Masc: Calça social com botões e zíper, confeccionada  com tecido  Two-Way Premium Stretch, na cor preta. Fem: Calça social com botões e zíper, confeccionada  com tecido  Two-Way Premium Stretch, na cor preta. </t>
  </si>
  <si>
    <t>FARDO C/ 1000 FLS</t>
  </si>
  <si>
    <t>TOTAL  PARA SETE EMPREGADOS</t>
  </si>
  <si>
    <t>....../......./2023</t>
  </si>
  <si>
    <t>PREÇO HOMEM -MÊS (ASG)</t>
  </si>
  <si>
    <t>Qntd. ASG Calculada</t>
  </si>
  <si>
    <t>Qntde. ASG</t>
  </si>
  <si>
    <t>Total de ASG</t>
  </si>
  <si>
    <t>Coleta diária de detritos em pátios e áreas verdes</t>
  </si>
  <si>
    <t>LIMPEZA E CONSERVAÇÃO</t>
  </si>
  <si>
    <t>MARCA DE REFERÊNCIA</t>
  </si>
  <si>
    <t>QUANTIDADE DE PROFISSIONAIS EMPREGADOS NA EXECUÇÃO DOS SERVIÇOS</t>
  </si>
  <si>
    <t>VALOR MENSAL POR EMPREGADO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</si>
</sst>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&quot;R$ &quot;* #,##0.00_-;&quot;-R$ &quot;* #,##0.00_-;_-&quot;R$ &quot;* \-??_-;_-@_-"/>
    <numFmt numFmtId="165" formatCode="&quot;R$ &quot;#,##0.00"/>
    <numFmt numFmtId="166" formatCode="&quot;R$&quot;#,##0.00"/>
    <numFmt numFmtId="167" formatCode="0.000000000"/>
    <numFmt numFmtId="168" formatCode="[$-416]d/m/yyyy"/>
    <numFmt numFmtId="169" formatCode="0.000%"/>
    <numFmt numFmtId="170" formatCode="&quot;R$ &quot;#,##0.00_);[Red]&quot;(R$ &quot;#,##0.00\)"/>
    <numFmt numFmtId="171" formatCode="&quot;R$&quot;\ #,##0.00"/>
    <numFmt numFmtId="172" formatCode="&quot;R$&quot;\ #,##0.00_);[Red]\(&quot;R$&quot;\ #,##0.00\)"/>
    <numFmt numFmtId="173" formatCode="0.00000"/>
    <numFmt numFmtId="174" formatCode="0.000"/>
  </numFmts>
  <fonts count="35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FFFFFF"/>
      <name val="Calibri"/>
      <family val="2"/>
      <charset val="1"/>
    </font>
    <font>
      <sz val="9"/>
      <name val="Tahoma"/>
      <family val="2"/>
      <charset val="1"/>
    </font>
    <font>
      <sz val="11"/>
      <name val="Calibri"/>
      <family val="2"/>
      <charset val="1"/>
    </font>
    <font>
      <sz val="9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b/>
      <sz val="8"/>
      <name val="Times New Roman"/>
      <family val="1"/>
    </font>
    <font>
      <sz val="8"/>
      <color rgb="FF000000"/>
      <name val="Times New Roman"/>
      <family val="1"/>
    </font>
    <font>
      <b/>
      <sz val="10"/>
      <color rgb="FFFFFFFF"/>
      <name val="Times New Roman"/>
      <family val="1"/>
    </font>
    <font>
      <sz val="10"/>
      <name val="Calibri"/>
      <family val="2"/>
      <charset val="1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b/>
      <sz val="8"/>
      <color theme="0"/>
      <name val="Times New Roman"/>
      <family val="1"/>
    </font>
    <font>
      <b/>
      <i/>
      <sz val="8"/>
      <color theme="0"/>
      <name val="Times New Roman"/>
      <family val="1"/>
    </font>
    <font>
      <b/>
      <sz val="8"/>
      <color rgb="FFFFFFFF"/>
      <name val="Times New Roman"/>
      <family val="1"/>
    </font>
    <font>
      <b/>
      <sz val="9"/>
      <color theme="0"/>
      <name val="Calibri"/>
      <family val="2"/>
      <scheme val="minor"/>
    </font>
    <font>
      <b/>
      <sz val="11"/>
      <color rgb="FF000000"/>
      <name val="Times New Roman"/>
      <family val="1"/>
    </font>
    <font>
      <sz val="9"/>
      <color rgb="FF000000"/>
      <name val="Times New Roman"/>
      <family val="1"/>
    </font>
    <font>
      <b/>
      <sz val="11"/>
      <color rgb="FFFFFFFF"/>
      <name val="Times New Roman"/>
      <family val="1"/>
    </font>
    <font>
      <sz val="11"/>
      <name val="Times New Roman"/>
      <family val="1"/>
    </font>
    <font>
      <sz val="11"/>
      <color rgb="FFFFFFFF"/>
      <name val="Times New Roman"/>
      <family val="1"/>
    </font>
    <font>
      <b/>
      <sz val="11"/>
      <color theme="1"/>
      <name val="Times New Roman"/>
      <family val="1"/>
    </font>
    <font>
      <b/>
      <sz val="10"/>
      <color theme="0"/>
      <name val="Times New Roman"/>
      <family val="1"/>
    </font>
    <font>
      <b/>
      <sz val="11"/>
      <color theme="0"/>
      <name val="Times New Roman"/>
      <family val="1"/>
    </font>
    <font>
      <sz val="11"/>
      <color theme="0"/>
      <name val="Times New Roman"/>
      <family val="1"/>
    </font>
    <font>
      <b/>
      <sz val="9"/>
      <color rgb="FF000000"/>
      <name val="Times New Roman"/>
      <family val="1"/>
    </font>
    <font>
      <b/>
      <sz val="9"/>
      <color rgb="FFFFFFFF"/>
      <name val="Times New Roman"/>
      <family val="1"/>
    </font>
  </fonts>
  <fills count="37">
    <fill>
      <patternFill patternType="none"/>
    </fill>
    <fill>
      <patternFill patternType="gray125"/>
    </fill>
    <fill>
      <patternFill patternType="solid">
        <fgColor rgb="FFF4B183"/>
        <bgColor rgb="FFFF99CC"/>
      </patternFill>
    </fill>
    <fill>
      <patternFill patternType="solid">
        <fgColor rgb="FF70AD47"/>
        <bgColor rgb="FF339966"/>
      </patternFill>
    </fill>
    <fill>
      <patternFill patternType="solid">
        <fgColor rgb="FFE2F0D9"/>
        <bgColor rgb="FFEDEDED"/>
      </patternFill>
    </fill>
    <fill>
      <patternFill patternType="solid">
        <fgColor rgb="FFC5E0B4"/>
        <bgColor rgb="FFD9D9D9"/>
      </patternFill>
    </fill>
    <fill>
      <patternFill patternType="solid">
        <fgColor rgb="FFEDEDED"/>
        <bgColor rgb="FFDEEBF7"/>
      </patternFill>
    </fill>
    <fill>
      <patternFill patternType="solid">
        <fgColor rgb="FFFFC000"/>
        <bgColor rgb="FFFF9900"/>
      </patternFill>
    </fill>
    <fill>
      <patternFill patternType="solid">
        <fgColor rgb="FFDEEBF7"/>
        <bgColor rgb="FFEDEDED"/>
      </patternFill>
    </fill>
    <fill>
      <patternFill patternType="solid">
        <fgColor rgb="FFBDD7EE"/>
        <bgColor rgb="FFD9D9D9"/>
      </patternFill>
    </fill>
    <fill>
      <patternFill patternType="solid">
        <fgColor rgb="FFC9C9C9"/>
        <bgColor rgb="FFD9D9D9"/>
      </patternFill>
    </fill>
    <fill>
      <patternFill patternType="solid">
        <fgColor rgb="FFFFFFFF"/>
        <bgColor rgb="FFEDEDED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rgb="FFEDEDED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79998168889431442"/>
        <bgColor theme="9" tint="0.59999389629810485"/>
      </patternFill>
    </fill>
    <fill>
      <patternFill patternType="solid">
        <fgColor theme="9" tint="0.59999389629810485"/>
        <bgColor theme="9" tint="0.79998168889431442"/>
      </patternFill>
    </fill>
    <fill>
      <patternFill patternType="solid">
        <fgColor theme="9" tint="0.59999389629810485"/>
        <bgColor rgb="FFEDEDED"/>
      </patternFill>
    </fill>
    <fill>
      <patternFill patternType="solid">
        <fgColor theme="5" tint="0.39997558519241921"/>
        <bgColor rgb="FFFF99C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5" tint="0.399914548173467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/>
        <bgColor indexed="64"/>
      </patternFill>
    </fill>
    <fill>
      <patternFill patternType="solid">
        <fgColor theme="6" tint="0.39994506668294322"/>
        <bgColor rgb="FFFFFFCC"/>
      </patternFill>
    </fill>
    <fill>
      <patternFill patternType="solid">
        <fgColor theme="6" tint="0.59996337778862885"/>
        <bgColor rgb="FFFFFFCC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rgb="FFFFFFFF"/>
      </bottom>
      <diagonal/>
    </border>
    <border>
      <left/>
      <right style="medium">
        <color rgb="FFFFFFFF"/>
      </right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7C7C7C"/>
      </left>
      <right style="thin">
        <color rgb="FF7C7C7C"/>
      </right>
      <top style="thin">
        <color rgb="FF7C7C7C"/>
      </top>
      <bottom style="thin">
        <color rgb="FF7C7C7C"/>
      </bottom>
      <diagonal/>
    </border>
    <border>
      <left style="thin">
        <color rgb="FF7C7C7C"/>
      </left>
      <right style="thin">
        <color rgb="FF7C7C7C"/>
      </right>
      <top/>
      <bottom style="thin">
        <color rgb="FF7C7C7C"/>
      </bottom>
      <diagonal/>
    </border>
    <border>
      <left style="thin">
        <color rgb="FF7C7C7C"/>
      </left>
      <right/>
      <top style="thin">
        <color rgb="FF7C7C7C"/>
      </top>
      <bottom style="thin">
        <color rgb="FF7C7C7C"/>
      </bottom>
      <diagonal/>
    </border>
    <border>
      <left/>
      <right/>
      <top style="thin">
        <color rgb="FF7C7C7C"/>
      </top>
      <bottom style="thin">
        <color rgb="FF7C7C7C"/>
      </bottom>
      <diagonal/>
    </border>
    <border>
      <left/>
      <right style="thin">
        <color rgb="FF7C7C7C"/>
      </right>
      <top style="thin">
        <color rgb="FF7C7C7C"/>
      </top>
      <bottom style="thin">
        <color rgb="FF7C7C7C"/>
      </bottom>
      <diagonal/>
    </border>
    <border>
      <left/>
      <right/>
      <top style="thin">
        <color rgb="FF7C7C7C"/>
      </top>
      <bottom/>
      <diagonal/>
    </border>
    <border>
      <left style="thin">
        <color rgb="FF7C7C7C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C7C7C"/>
      </left>
      <right/>
      <top style="thin">
        <color rgb="FF7C7C7C"/>
      </top>
      <bottom/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/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7C7C7C"/>
      </right>
      <top/>
      <bottom/>
      <diagonal/>
    </border>
    <border>
      <left style="thin">
        <color indexed="64"/>
      </left>
      <right style="thin">
        <color rgb="FF7C7C7C"/>
      </right>
      <top style="thin">
        <color rgb="FF7C7C7C"/>
      </top>
      <bottom style="thin">
        <color rgb="FF7C7C7C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6" tint="-0.24994659260841701"/>
      </left>
      <right/>
      <top/>
      <bottom style="thin">
        <color theme="6" tint="-0.24994659260841701"/>
      </bottom>
      <diagonal/>
    </border>
    <border>
      <left/>
      <right/>
      <top/>
      <bottom style="thin">
        <color theme="6" tint="-0.24994659260841701"/>
      </bottom>
      <diagonal/>
    </border>
    <border>
      <left/>
      <right style="thin">
        <color theme="6" tint="-0.24994659260841701"/>
      </right>
      <top/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/>
      <diagonal/>
    </border>
    <border>
      <left style="thin">
        <color theme="6" tint="-0.249977111117893"/>
      </left>
      <right/>
      <top/>
      <bottom/>
      <diagonal/>
    </border>
    <border>
      <left style="thin">
        <color theme="6" tint="-0.24994659260841701"/>
      </left>
      <right style="thin">
        <color theme="6" tint="-0.249977111117893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77111117893"/>
      </right>
      <top style="thin">
        <color theme="6" tint="-0.24994659260841701"/>
      </top>
      <bottom/>
      <diagonal/>
    </border>
    <border>
      <left style="thin">
        <color theme="6" tint="-0.249977111117893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 style="thin">
        <color theme="6" tint="-0.249977111117893"/>
      </right>
      <top/>
      <bottom style="thin">
        <color theme="6" tint="-0.24994659260841701"/>
      </bottom>
      <diagonal/>
    </border>
    <border>
      <left style="thin">
        <color theme="6" tint="-0.249977111117893"/>
      </left>
      <right style="thin">
        <color theme="6" tint="-0.24994659260841701"/>
      </right>
      <top/>
      <bottom style="thin">
        <color theme="6" tint="-0.24994659260841701"/>
      </bottom>
      <diagonal/>
    </border>
    <border>
      <left/>
      <right style="thin">
        <color theme="6" tint="-0.249977111117893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77111117893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 style="thin">
        <color theme="0"/>
      </bottom>
      <diagonal/>
    </border>
    <border>
      <left/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ck">
        <color theme="0"/>
      </top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 style="thin">
        <color theme="0"/>
      </left>
      <right/>
      <top style="thick">
        <color theme="0"/>
      </top>
      <bottom style="thin">
        <color theme="0"/>
      </bottom>
      <diagonal/>
    </border>
    <border>
      <left/>
      <right/>
      <top style="thick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164" fontId="7" fillId="0" borderId="0" applyBorder="0" applyProtection="0"/>
    <xf numFmtId="9" fontId="7" fillId="0" borderId="0" applyBorder="0" applyProtection="0"/>
    <xf numFmtId="164" fontId="7" fillId="0" borderId="0" applyBorder="0" applyProtection="0"/>
    <xf numFmtId="0" fontId="7" fillId="0" borderId="0"/>
  </cellStyleXfs>
  <cellXfs count="43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64" fontId="0" fillId="2" borderId="0" xfId="1" applyFont="1" applyFill="1" applyBorder="1" applyAlignment="1" applyProtection="1">
      <alignment horizontal="center"/>
    </xf>
    <xf numFmtId="2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9" fontId="0" fillId="2" borderId="0" xfId="0" applyNumberFormat="1" applyFill="1" applyAlignment="1">
      <alignment horizontal="center"/>
    </xf>
    <xf numFmtId="10" fontId="0" fillId="0" borderId="0" xfId="0" applyNumberFormat="1"/>
    <xf numFmtId="165" fontId="0" fillId="0" borderId="0" xfId="0" applyNumberFormat="1" applyAlignment="1">
      <alignment horizontal="center"/>
    </xf>
    <xf numFmtId="10" fontId="0" fillId="2" borderId="0" xfId="2" applyNumberFormat="1" applyFont="1" applyFill="1" applyBorder="1" applyProtection="1"/>
    <xf numFmtId="10" fontId="0" fillId="0" borderId="0" xfId="2" applyNumberFormat="1" applyFont="1" applyBorder="1" applyProtection="1"/>
    <xf numFmtId="165" fontId="0" fillId="0" borderId="0" xfId="0" applyNumberFormat="1"/>
    <xf numFmtId="166" fontId="0" fillId="0" borderId="0" xfId="0" applyNumberFormat="1"/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10" fontId="0" fillId="0" borderId="0" xfId="2" applyNumberFormat="1" applyFont="1" applyBorder="1" applyAlignment="1" applyProtection="1">
      <alignment horizontal="center"/>
    </xf>
    <xf numFmtId="10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/>
    </xf>
    <xf numFmtId="0" fontId="3" fillId="3" borderId="0" xfId="0" applyFont="1" applyFill="1"/>
    <xf numFmtId="165" fontId="3" fillId="3" borderId="0" xfId="0" applyNumberFormat="1" applyFont="1" applyFill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/>
    </xf>
    <xf numFmtId="167" fontId="5" fillId="5" borderId="6" xfId="0" applyNumberFormat="1" applyFont="1" applyFill="1" applyBorder="1" applyAlignment="1">
      <alignment horizontal="center" vertical="center"/>
    </xf>
    <xf numFmtId="1" fontId="5" fillId="5" borderId="6" xfId="0" applyNumberFormat="1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 wrapText="1"/>
    </xf>
    <xf numFmtId="165" fontId="5" fillId="2" borderId="6" xfId="0" applyNumberFormat="1" applyFont="1" applyFill="1" applyBorder="1" applyAlignment="1">
      <alignment horizontal="center" vertical="center"/>
    </xf>
    <xf numFmtId="165" fontId="5" fillId="5" borderId="6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165" fontId="2" fillId="3" borderId="9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0" fontId="9" fillId="0" borderId="0" xfId="0" applyFont="1"/>
    <xf numFmtId="0" fontId="10" fillId="0" borderId="18" xfId="0" applyFont="1" applyBorder="1" applyAlignment="1">
      <alignment horizontal="center"/>
    </xf>
    <xf numFmtId="2" fontId="10" fillId="0" borderId="18" xfId="1" applyNumberFormat="1" applyFont="1" applyBorder="1" applyAlignment="1" applyProtection="1">
      <alignment horizontal="center"/>
    </xf>
    <xf numFmtId="164" fontId="10" fillId="0" borderId="18" xfId="1" applyFont="1" applyBorder="1" applyAlignment="1" applyProtection="1">
      <alignment horizontal="center" vertical="center"/>
    </xf>
    <xf numFmtId="0" fontId="10" fillId="0" borderId="0" xfId="0" applyFont="1"/>
    <xf numFmtId="0" fontId="10" fillId="11" borderId="0" xfId="0" applyFont="1" applyFill="1"/>
    <xf numFmtId="0" fontId="10" fillId="0" borderId="17" xfId="0" applyFont="1" applyBorder="1"/>
    <xf numFmtId="0" fontId="11" fillId="0" borderId="0" xfId="0" applyFont="1"/>
    <xf numFmtId="165" fontId="10" fillId="0" borderId="0" xfId="0" applyNumberFormat="1" applyFont="1"/>
    <xf numFmtId="164" fontId="11" fillId="0" borderId="18" xfId="1" applyFont="1" applyBorder="1" applyAlignment="1" applyProtection="1">
      <alignment horizontal="center"/>
    </xf>
    <xf numFmtId="0" fontId="13" fillId="0" borderId="0" xfId="0" applyFont="1"/>
    <xf numFmtId="169" fontId="10" fillId="0" borderId="0" xfId="0" applyNumberFormat="1" applyFont="1"/>
    <xf numFmtId="164" fontId="10" fillId="0" borderId="0" xfId="1" applyFont="1" applyBorder="1" applyProtection="1"/>
    <xf numFmtId="0" fontId="12" fillId="0" borderId="11" xfId="0" applyFont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left" vertical="center" wrapText="1"/>
    </xf>
    <xf numFmtId="0" fontId="12" fillId="6" borderId="13" xfId="0" applyFont="1" applyFill="1" applyBorder="1" applyAlignment="1">
      <alignment horizontal="left" wrapText="1"/>
    </xf>
    <xf numFmtId="0" fontId="12" fillId="6" borderId="14" xfId="0" applyFont="1" applyFill="1" applyBorder="1" applyAlignment="1">
      <alignment horizontal="left" wrapText="1"/>
    </xf>
    <xf numFmtId="0" fontId="12" fillId="6" borderId="13" xfId="0" applyFont="1" applyFill="1" applyBorder="1" applyAlignment="1">
      <alignment wrapText="1"/>
    </xf>
    <xf numFmtId="0" fontId="12" fillId="6" borderId="15" xfId="0" applyFont="1" applyFill="1" applyBorder="1" applyAlignment="1">
      <alignment wrapText="1"/>
    </xf>
    <xf numFmtId="0" fontId="12" fillId="6" borderId="13" xfId="0" applyFont="1" applyFill="1" applyBorder="1" applyAlignment="1">
      <alignment horizontal="center" vertical="center" wrapText="1"/>
    </xf>
    <xf numFmtId="0" fontId="12" fillId="6" borderId="11" xfId="0" applyFont="1" applyFill="1" applyBorder="1" applyAlignment="1">
      <alignment horizontal="center" vertical="center" wrapText="1"/>
    </xf>
    <xf numFmtId="0" fontId="12" fillId="10" borderId="13" xfId="0" applyFont="1" applyFill="1" applyBorder="1" applyAlignment="1">
      <alignment horizontal="left"/>
    </xf>
    <xf numFmtId="0" fontId="12" fillId="10" borderId="14" xfId="0" applyFont="1" applyFill="1" applyBorder="1" applyAlignment="1">
      <alignment horizontal="left"/>
    </xf>
    <xf numFmtId="0" fontId="13" fillId="0" borderId="13" xfId="0" applyFont="1" applyBorder="1" applyAlignment="1">
      <alignment horizontal="left" vertical="center"/>
    </xf>
    <xf numFmtId="10" fontId="10" fillId="0" borderId="11" xfId="2" applyNumberFormat="1" applyFont="1" applyBorder="1" applyAlignment="1" applyProtection="1">
      <alignment horizontal="right"/>
    </xf>
    <xf numFmtId="0" fontId="10" fillId="0" borderId="13" xfId="0" applyFont="1" applyBorder="1" applyAlignment="1">
      <alignment horizontal="left" vertical="center" wrapText="1"/>
    </xf>
    <xf numFmtId="10" fontId="12" fillId="10" borderId="11" xfId="0" applyNumberFormat="1" applyFont="1" applyFill="1" applyBorder="1" applyAlignment="1">
      <alignment horizontal="right"/>
    </xf>
    <xf numFmtId="0" fontId="10" fillId="0" borderId="11" xfId="0" applyFont="1" applyBorder="1" applyAlignment="1">
      <alignment horizontal="left" wrapText="1"/>
    </xf>
    <xf numFmtId="0" fontId="13" fillId="0" borderId="15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/>
    </xf>
    <xf numFmtId="0" fontId="12" fillId="10" borderId="14" xfId="0" applyFont="1" applyFill="1" applyBorder="1" applyAlignment="1">
      <alignment wrapText="1"/>
    </xf>
    <xf numFmtId="0" fontId="12" fillId="6" borderId="15" xfId="0" applyFont="1" applyFill="1" applyBorder="1" applyAlignment="1">
      <alignment horizontal="left" wrapText="1"/>
    </xf>
    <xf numFmtId="0" fontId="10" fillId="0" borderId="11" xfId="0" applyFont="1" applyBorder="1" applyAlignment="1">
      <alignment horizontal="left" vertical="center" wrapText="1"/>
    </xf>
    <xf numFmtId="10" fontId="10" fillId="0" borderId="13" xfId="2" applyNumberFormat="1" applyFont="1" applyBorder="1" applyAlignment="1" applyProtection="1">
      <alignment horizontal="right" vertical="center"/>
    </xf>
    <xf numFmtId="10" fontId="13" fillId="0" borderId="13" xfId="2" applyNumberFormat="1" applyFont="1" applyBorder="1" applyAlignment="1" applyProtection="1">
      <alignment horizontal="right" vertical="center"/>
    </xf>
    <xf numFmtId="0" fontId="12" fillId="10" borderId="11" xfId="0" applyFont="1" applyFill="1" applyBorder="1" applyAlignment="1">
      <alignment wrapText="1"/>
    </xf>
    <xf numFmtId="10" fontId="12" fillId="10" borderId="13" xfId="2" applyNumberFormat="1" applyFont="1" applyFill="1" applyBorder="1" applyAlignment="1" applyProtection="1">
      <alignment horizontal="right"/>
    </xf>
    <xf numFmtId="0" fontId="10" fillId="0" borderId="11" xfId="0" applyFont="1" applyBorder="1" applyAlignment="1">
      <alignment horizontal="left" vertical="top" wrapText="1"/>
    </xf>
    <xf numFmtId="10" fontId="12" fillId="0" borderId="13" xfId="0" applyNumberFormat="1" applyFont="1" applyBorder="1" applyAlignment="1">
      <alignment horizontal="right"/>
    </xf>
    <xf numFmtId="0" fontId="12" fillId="0" borderId="15" xfId="0" applyFont="1" applyBorder="1" applyAlignment="1">
      <alignment horizontal="left" wrapText="1"/>
    </xf>
    <xf numFmtId="0" fontId="10" fillId="0" borderId="11" xfId="0" applyFont="1" applyBorder="1" applyAlignment="1">
      <alignment wrapText="1"/>
    </xf>
    <xf numFmtId="10" fontId="12" fillId="10" borderId="13" xfId="0" applyNumberFormat="1" applyFont="1" applyFill="1" applyBorder="1" applyAlignment="1">
      <alignment horizontal="right"/>
    </xf>
    <xf numFmtId="0" fontId="12" fillId="6" borderId="11" xfId="0" applyFont="1" applyFill="1" applyBorder="1" applyAlignment="1">
      <alignment wrapText="1"/>
    </xf>
    <xf numFmtId="10" fontId="13" fillId="0" borderId="11" xfId="2" applyNumberFormat="1" applyFont="1" applyBorder="1" applyAlignment="1" applyProtection="1">
      <alignment horizontal="right" vertical="center"/>
    </xf>
    <xf numFmtId="0" fontId="12" fillId="10" borderId="13" xfId="0" applyFont="1" applyFill="1" applyBorder="1" applyAlignment="1">
      <alignment horizontal="left" wrapText="1"/>
    </xf>
    <xf numFmtId="0" fontId="10" fillId="10" borderId="13" xfId="0" applyFont="1" applyFill="1" applyBorder="1" applyAlignment="1">
      <alignment horizontal="left" wrapText="1"/>
    </xf>
    <xf numFmtId="10" fontId="12" fillId="0" borderId="13" xfId="0" applyNumberFormat="1" applyFont="1" applyBorder="1" applyAlignment="1">
      <alignment horizontal="left" wrapText="1"/>
    </xf>
    <xf numFmtId="0" fontId="13" fillId="11" borderId="13" xfId="0" applyFont="1" applyFill="1" applyBorder="1" applyAlignment="1">
      <alignment wrapText="1"/>
    </xf>
    <xf numFmtId="10" fontId="10" fillId="0" borderId="11" xfId="2" applyNumberFormat="1" applyFont="1" applyBorder="1" applyAlignment="1" applyProtection="1">
      <alignment horizontal="right" vertical="center"/>
    </xf>
    <xf numFmtId="0" fontId="10" fillId="0" borderId="13" xfId="0" applyFont="1" applyBorder="1" applyAlignment="1">
      <alignment wrapText="1"/>
    </xf>
    <xf numFmtId="0" fontId="12" fillId="6" borderId="19" xfId="0" applyFont="1" applyFill="1" applyBorder="1" applyAlignment="1">
      <alignment horizontal="left" vertical="center" wrapText="1"/>
    </xf>
    <xf numFmtId="0" fontId="12" fillId="6" borderId="18" xfId="0" applyFont="1" applyFill="1" applyBorder="1" applyAlignment="1">
      <alignment horizontal="left" vertical="center" wrapText="1"/>
    </xf>
    <xf numFmtId="0" fontId="10" fillId="0" borderId="26" xfId="0" applyFont="1" applyBorder="1"/>
    <xf numFmtId="10" fontId="10" fillId="11" borderId="13" xfId="2" applyNumberFormat="1" applyFont="1" applyFill="1" applyBorder="1" applyAlignment="1" applyProtection="1">
      <alignment horizontal="right" vertical="center"/>
    </xf>
    <xf numFmtId="170" fontId="8" fillId="0" borderId="0" xfId="0" applyNumberFormat="1" applyFont="1"/>
    <xf numFmtId="0" fontId="14" fillId="3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164" fontId="10" fillId="0" borderId="18" xfId="1" applyFont="1" applyBorder="1" applyAlignment="1" applyProtection="1">
      <alignment horizontal="center"/>
    </xf>
    <xf numFmtId="0" fontId="10" fillId="12" borderId="11" xfId="0" applyFont="1" applyFill="1" applyBorder="1" applyAlignment="1">
      <alignment horizontal="left" wrapText="1"/>
    </xf>
    <xf numFmtId="10" fontId="10" fillId="12" borderId="11" xfId="2" applyNumberFormat="1" applyFont="1" applyFill="1" applyBorder="1" applyAlignment="1" applyProtection="1">
      <alignment horizontal="right"/>
    </xf>
    <xf numFmtId="10" fontId="13" fillId="12" borderId="11" xfId="2" applyNumberFormat="1" applyFont="1" applyFill="1" applyBorder="1" applyAlignment="1" applyProtection="1">
      <alignment horizontal="right" vertical="center"/>
    </xf>
    <xf numFmtId="0" fontId="13" fillId="12" borderId="13" xfId="0" applyFont="1" applyFill="1" applyBorder="1" applyAlignment="1">
      <alignment horizontal="left" vertical="center" wrapText="1"/>
    </xf>
    <xf numFmtId="0" fontId="13" fillId="12" borderId="13" xfId="0" applyFont="1" applyFill="1" applyBorder="1" applyAlignment="1">
      <alignment horizontal="left" vertical="center"/>
    </xf>
    <xf numFmtId="0" fontId="13" fillId="0" borderId="27" xfId="0" applyFont="1" applyBorder="1" applyAlignment="1">
      <alignment horizontal="left" vertical="center"/>
    </xf>
    <xf numFmtId="0" fontId="13" fillId="12" borderId="27" xfId="0" applyFont="1" applyFill="1" applyBorder="1" applyAlignment="1">
      <alignment horizontal="left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/>
    </xf>
    <xf numFmtId="167" fontId="5" fillId="4" borderId="10" xfId="0" applyNumberFormat="1" applyFont="1" applyFill="1" applyBorder="1" applyAlignment="1">
      <alignment horizontal="center" vertical="center"/>
    </xf>
    <xf numFmtId="1" fontId="5" fillId="4" borderId="10" xfId="0" applyNumberFormat="1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 wrapText="1"/>
    </xf>
    <xf numFmtId="165" fontId="5" fillId="2" borderId="10" xfId="0" applyNumberFormat="1" applyFont="1" applyFill="1" applyBorder="1" applyAlignment="1">
      <alignment horizontal="center" vertical="center"/>
    </xf>
    <xf numFmtId="165" fontId="5" fillId="4" borderId="10" xfId="0" applyNumberFormat="1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  <xf numFmtId="0" fontId="16" fillId="14" borderId="28" xfId="0" applyFont="1" applyFill="1" applyBorder="1" applyAlignment="1">
      <alignment horizontal="center" vertical="justify"/>
    </xf>
    <xf numFmtId="0" fontId="5" fillId="17" borderId="24" xfId="0" applyFont="1" applyFill="1" applyBorder="1" applyAlignment="1">
      <alignment horizontal="center" vertical="center"/>
    </xf>
    <xf numFmtId="0" fontId="15" fillId="17" borderId="10" xfId="0" applyFont="1" applyFill="1" applyBorder="1" applyAlignment="1">
      <alignment horizontal="center" vertical="center"/>
    </xf>
    <xf numFmtId="0" fontId="5" fillId="17" borderId="10" xfId="0" applyFont="1" applyFill="1" applyBorder="1" applyAlignment="1">
      <alignment horizontal="center"/>
    </xf>
    <xf numFmtId="167" fontId="5" fillId="17" borderId="10" xfId="0" applyNumberFormat="1" applyFont="1" applyFill="1" applyBorder="1" applyAlignment="1">
      <alignment horizontal="center" vertical="center"/>
    </xf>
    <xf numFmtId="1" fontId="5" fillId="17" borderId="10" xfId="0" applyNumberFormat="1" applyFont="1" applyFill="1" applyBorder="1" applyAlignment="1">
      <alignment horizontal="center" vertical="center"/>
    </xf>
    <xf numFmtId="0" fontId="5" fillId="17" borderId="10" xfId="0" applyFont="1" applyFill="1" applyBorder="1" applyAlignment="1">
      <alignment horizontal="center" vertical="center" wrapText="1"/>
    </xf>
    <xf numFmtId="165" fontId="5" fillId="18" borderId="10" xfId="0" applyNumberFormat="1" applyFont="1" applyFill="1" applyBorder="1" applyAlignment="1">
      <alignment horizontal="center" vertical="center"/>
    </xf>
    <xf numFmtId="0" fontId="10" fillId="0" borderId="36" xfId="0" applyFont="1" applyBorder="1"/>
    <xf numFmtId="0" fontId="18" fillId="0" borderId="0" xfId="0" applyFont="1"/>
    <xf numFmtId="0" fontId="10" fillId="12" borderId="0" xfId="0" applyFont="1" applyFill="1"/>
    <xf numFmtId="0" fontId="12" fillId="19" borderId="32" xfId="0" applyFont="1" applyFill="1" applyBorder="1" applyAlignment="1">
      <alignment horizontal="left" vertical="center" wrapText="1"/>
    </xf>
    <xf numFmtId="0" fontId="12" fillId="19" borderId="32" xfId="0" applyFont="1" applyFill="1" applyBorder="1" applyAlignment="1">
      <alignment horizontal="left" wrapText="1"/>
    </xf>
    <xf numFmtId="0" fontId="12" fillId="19" borderId="33" xfId="0" applyFont="1" applyFill="1" applyBorder="1" applyAlignment="1">
      <alignment horizontal="left" wrapText="1"/>
    </xf>
    <xf numFmtId="0" fontId="12" fillId="19" borderId="32" xfId="0" applyFont="1" applyFill="1" applyBorder="1" applyAlignment="1">
      <alignment wrapText="1"/>
    </xf>
    <xf numFmtId="0" fontId="12" fillId="19" borderId="34" xfId="0" applyFont="1" applyFill="1" applyBorder="1" applyAlignment="1">
      <alignment wrapText="1"/>
    </xf>
    <xf numFmtId="0" fontId="12" fillId="19" borderId="32" xfId="0" applyFont="1" applyFill="1" applyBorder="1" applyAlignment="1">
      <alignment horizontal="center" vertical="center" wrapText="1"/>
    </xf>
    <xf numFmtId="0" fontId="12" fillId="19" borderId="37" xfId="0" applyFont="1" applyFill="1" applyBorder="1" applyAlignment="1">
      <alignment horizontal="center" vertical="center" wrapText="1"/>
    </xf>
    <xf numFmtId="0" fontId="12" fillId="22" borderId="32" xfId="0" applyFont="1" applyFill="1" applyBorder="1" applyAlignment="1">
      <alignment horizontal="left"/>
    </xf>
    <xf numFmtId="0" fontId="12" fillId="22" borderId="33" xfId="0" applyFont="1" applyFill="1" applyBorder="1" applyAlignment="1">
      <alignment horizontal="left"/>
    </xf>
    <xf numFmtId="0" fontId="18" fillId="0" borderId="32" xfId="0" applyFont="1" applyBorder="1" applyAlignment="1">
      <alignment horizontal="left" vertical="center"/>
    </xf>
    <xf numFmtId="10" fontId="10" fillId="0" borderId="43" xfId="2" applyNumberFormat="1" applyFont="1" applyBorder="1" applyAlignment="1" applyProtection="1">
      <alignment horizontal="right"/>
    </xf>
    <xf numFmtId="0" fontId="10" fillId="0" borderId="32" xfId="0" applyFont="1" applyBorder="1" applyAlignment="1">
      <alignment horizontal="left" vertical="center" wrapText="1"/>
    </xf>
    <xf numFmtId="10" fontId="12" fillId="22" borderId="44" xfId="0" applyNumberFormat="1" applyFont="1" applyFill="1" applyBorder="1" applyAlignment="1">
      <alignment horizontal="right"/>
    </xf>
    <xf numFmtId="0" fontId="10" fillId="0" borderId="43" xfId="0" applyFont="1" applyBorder="1" applyAlignment="1">
      <alignment horizontal="left" wrapText="1"/>
    </xf>
    <xf numFmtId="0" fontId="10" fillId="0" borderId="43" xfId="0" applyFont="1" applyBorder="1" applyAlignment="1">
      <alignment horizontal="left" vertical="justify" wrapText="1"/>
    </xf>
    <xf numFmtId="10" fontId="10" fillId="12" borderId="43" xfId="2" applyNumberFormat="1" applyFont="1" applyFill="1" applyBorder="1" applyAlignment="1" applyProtection="1">
      <alignment horizontal="right"/>
    </xf>
    <xf numFmtId="0" fontId="18" fillId="0" borderId="34" xfId="0" applyFont="1" applyBorder="1" applyAlignment="1">
      <alignment horizontal="left" vertical="center"/>
    </xf>
    <xf numFmtId="0" fontId="18" fillId="0" borderId="32" xfId="0" applyFont="1" applyBorder="1" applyAlignment="1">
      <alignment horizontal="left" vertical="center" wrapText="1"/>
    </xf>
    <xf numFmtId="0" fontId="12" fillId="24" borderId="33" xfId="0" applyFont="1" applyFill="1" applyBorder="1" applyAlignment="1">
      <alignment wrapText="1"/>
    </xf>
    <xf numFmtId="0" fontId="12" fillId="19" borderId="34" xfId="0" applyFont="1" applyFill="1" applyBorder="1" applyAlignment="1">
      <alignment horizontal="left" wrapText="1"/>
    </xf>
    <xf numFmtId="0" fontId="12" fillId="22" borderId="32" xfId="0" applyFont="1" applyFill="1" applyBorder="1" applyAlignment="1">
      <alignment horizontal="left" wrapText="1"/>
    </xf>
    <xf numFmtId="0" fontId="10" fillId="0" borderId="43" xfId="0" applyFont="1" applyBorder="1" applyAlignment="1">
      <alignment horizontal="left" vertical="center" wrapText="1"/>
    </xf>
    <xf numFmtId="10" fontId="10" fillId="12" borderId="32" xfId="2" applyNumberFormat="1" applyFont="1" applyFill="1" applyBorder="1" applyAlignment="1" applyProtection="1">
      <alignment horizontal="right" vertical="center"/>
    </xf>
    <xf numFmtId="0" fontId="12" fillId="22" borderId="43" xfId="0" applyFont="1" applyFill="1" applyBorder="1" applyAlignment="1">
      <alignment wrapText="1"/>
    </xf>
    <xf numFmtId="10" fontId="12" fillId="22" borderId="32" xfId="2" applyNumberFormat="1" applyFont="1" applyFill="1" applyBorder="1" applyAlignment="1" applyProtection="1">
      <alignment horizontal="right"/>
    </xf>
    <xf numFmtId="0" fontId="10" fillId="0" borderId="43" xfId="0" applyFont="1" applyBorder="1" applyAlignment="1">
      <alignment horizontal="left" vertical="top" wrapText="1"/>
    </xf>
    <xf numFmtId="10" fontId="12" fillId="22" borderId="32" xfId="0" applyNumberFormat="1" applyFont="1" applyFill="1" applyBorder="1" applyAlignment="1">
      <alignment horizontal="right"/>
    </xf>
    <xf numFmtId="0" fontId="10" fillId="0" borderId="43" xfId="0" applyFont="1" applyBorder="1" applyAlignment="1">
      <alignment wrapText="1"/>
    </xf>
    <xf numFmtId="0" fontId="12" fillId="19" borderId="43" xfId="0" applyFont="1" applyFill="1" applyBorder="1" applyAlignment="1">
      <alignment wrapText="1"/>
    </xf>
    <xf numFmtId="0" fontId="10" fillId="22" borderId="32" xfId="0" applyFont="1" applyFill="1" applyBorder="1" applyAlignment="1">
      <alignment horizontal="left" wrapText="1"/>
    </xf>
    <xf numFmtId="10" fontId="12" fillId="22" borderId="32" xfId="0" applyNumberFormat="1" applyFont="1" applyFill="1" applyBorder="1" applyAlignment="1">
      <alignment horizontal="left" wrapText="1"/>
    </xf>
    <xf numFmtId="0" fontId="18" fillId="12" borderId="32" xfId="0" applyFont="1" applyFill="1" applyBorder="1" applyAlignment="1">
      <alignment wrapText="1"/>
    </xf>
    <xf numFmtId="0" fontId="10" fillId="0" borderId="32" xfId="0" applyFont="1" applyBorder="1" applyAlignment="1">
      <alignment wrapText="1"/>
    </xf>
    <xf numFmtId="0" fontId="12" fillId="19" borderId="48" xfId="0" applyFont="1" applyFill="1" applyBorder="1" applyAlignment="1">
      <alignment horizontal="left" vertical="center" wrapText="1"/>
    </xf>
    <xf numFmtId="0" fontId="12" fillId="19" borderId="18" xfId="0" applyFont="1" applyFill="1" applyBorder="1" applyAlignment="1">
      <alignment horizontal="left" vertical="center" wrapText="1"/>
    </xf>
    <xf numFmtId="10" fontId="18" fillId="12" borderId="43" xfId="2" applyNumberFormat="1" applyFont="1" applyFill="1" applyBorder="1" applyAlignment="1" applyProtection="1">
      <alignment horizontal="right" vertical="center"/>
    </xf>
    <xf numFmtId="0" fontId="13" fillId="0" borderId="0" xfId="0" applyFont="1" applyAlignment="1">
      <alignment horizontal="center" vertical="center" wrapText="1"/>
    </xf>
    <xf numFmtId="0" fontId="20" fillId="26" borderId="4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justify" vertical="center" wrapText="1"/>
    </xf>
    <xf numFmtId="171" fontId="10" fillId="27" borderId="50" xfId="0" applyNumberFormat="1" applyFont="1" applyFill="1" applyBorder="1" applyAlignment="1">
      <alignment horizontal="center" vertical="center"/>
    </xf>
    <xf numFmtId="171" fontId="13" fillId="0" borderId="0" xfId="0" applyNumberFormat="1" applyFont="1" applyAlignment="1">
      <alignment horizontal="center" vertical="center"/>
    </xf>
    <xf numFmtId="0" fontId="20" fillId="30" borderId="53" xfId="0" applyFont="1" applyFill="1" applyBorder="1" applyAlignment="1">
      <alignment horizontal="center" vertical="center"/>
    </xf>
    <xf numFmtId="0" fontId="21" fillId="30" borderId="53" xfId="0" applyFont="1" applyFill="1" applyBorder="1" applyAlignment="1">
      <alignment horizontal="center" vertical="center"/>
    </xf>
    <xf numFmtId="172" fontId="20" fillId="26" borderId="54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20" fillId="26" borderId="55" xfId="0" applyFont="1" applyFill="1" applyBorder="1" applyAlignment="1">
      <alignment horizontal="center" vertical="center" wrapText="1"/>
    </xf>
    <xf numFmtId="0" fontId="20" fillId="26" borderId="56" xfId="0" applyFont="1" applyFill="1" applyBorder="1" applyAlignment="1">
      <alignment horizontal="center" vertical="center" wrapText="1"/>
    </xf>
    <xf numFmtId="0" fontId="13" fillId="29" borderId="57" xfId="0" applyFont="1" applyFill="1" applyBorder="1" applyAlignment="1">
      <alignment horizontal="center" vertical="center"/>
    </xf>
    <xf numFmtId="0" fontId="13" fillId="29" borderId="57" xfId="0" applyFont="1" applyFill="1" applyBorder="1" applyAlignment="1">
      <alignment horizontal="left" vertical="center"/>
    </xf>
    <xf numFmtId="0" fontId="13" fillId="31" borderId="18" xfId="0" applyFont="1" applyFill="1" applyBorder="1" applyAlignment="1">
      <alignment horizontal="center" vertical="center" wrapText="1"/>
    </xf>
    <xf numFmtId="171" fontId="13" fillId="29" borderId="52" xfId="0" applyNumberFormat="1" applyFont="1" applyFill="1" applyBorder="1" applyAlignment="1">
      <alignment horizontal="center" vertical="center"/>
    </xf>
    <xf numFmtId="0" fontId="13" fillId="14" borderId="57" xfId="0" applyFont="1" applyFill="1" applyBorder="1" applyAlignment="1">
      <alignment horizontal="center" vertical="center"/>
    </xf>
    <xf numFmtId="0" fontId="13" fillId="14" borderId="28" xfId="0" applyFont="1" applyFill="1" applyBorder="1" applyAlignment="1">
      <alignment horizontal="justify" vertical="center" wrapText="1"/>
    </xf>
    <xf numFmtId="0" fontId="13" fillId="32" borderId="18" xfId="0" applyFont="1" applyFill="1" applyBorder="1" applyAlignment="1">
      <alignment horizontal="center" vertical="center" wrapText="1"/>
    </xf>
    <xf numFmtId="0" fontId="10" fillId="32" borderId="1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24" borderId="18" xfId="0" applyFont="1" applyFill="1" applyBorder="1" applyAlignment="1">
      <alignment horizontal="center" vertical="center" wrapText="1"/>
    </xf>
    <xf numFmtId="0" fontId="20" fillId="26" borderId="54" xfId="0" applyFont="1" applyFill="1" applyBorder="1" applyAlignment="1">
      <alignment horizontal="center" vertical="center"/>
    </xf>
    <xf numFmtId="0" fontId="13" fillId="14" borderId="28" xfId="0" applyFont="1" applyFill="1" applyBorder="1" applyAlignment="1">
      <alignment horizontal="center" vertical="center" wrapText="1"/>
    </xf>
    <xf numFmtId="171" fontId="13" fillId="14" borderId="28" xfId="0" applyNumberFormat="1" applyFont="1" applyFill="1" applyBorder="1" applyAlignment="1">
      <alignment horizontal="center" vertical="center" wrapText="1"/>
    </xf>
    <xf numFmtId="0" fontId="13" fillId="29" borderId="28" xfId="0" applyFont="1" applyFill="1" applyBorder="1" applyAlignment="1">
      <alignment horizontal="center" vertical="center" wrapText="1"/>
    </xf>
    <xf numFmtId="0" fontId="13" fillId="29" borderId="28" xfId="0" applyFont="1" applyFill="1" applyBorder="1" applyAlignment="1">
      <alignment horizontal="justify" vertical="center" wrapText="1"/>
    </xf>
    <xf numFmtId="171" fontId="13" fillId="29" borderId="28" xfId="0" applyNumberFormat="1" applyFont="1" applyFill="1" applyBorder="1" applyAlignment="1">
      <alignment horizontal="center" vertical="center" wrapText="1"/>
    </xf>
    <xf numFmtId="0" fontId="13" fillId="15" borderId="28" xfId="0" applyFont="1" applyFill="1" applyBorder="1" applyAlignment="1">
      <alignment horizontal="center" vertical="center" wrapText="1"/>
    </xf>
    <xf numFmtId="171" fontId="13" fillId="15" borderId="28" xfId="0" applyNumberFormat="1" applyFont="1" applyFill="1" applyBorder="1" applyAlignment="1">
      <alignment horizontal="center" vertical="center" wrapText="1"/>
    </xf>
    <xf numFmtId="0" fontId="13" fillId="15" borderId="28" xfId="0" applyFont="1" applyFill="1" applyBorder="1" applyAlignment="1">
      <alignment horizontal="justify" vertical="center" wrapText="1"/>
    </xf>
    <xf numFmtId="171" fontId="20" fillId="30" borderId="52" xfId="0" applyNumberFormat="1" applyFont="1" applyFill="1" applyBorder="1" applyAlignment="1">
      <alignment horizontal="center"/>
    </xf>
    <xf numFmtId="171" fontId="20" fillId="30" borderId="28" xfId="0" applyNumberFormat="1" applyFont="1" applyFill="1" applyBorder="1" applyAlignment="1">
      <alignment horizontal="center"/>
    </xf>
    <xf numFmtId="0" fontId="22" fillId="34" borderId="3" xfId="0" applyFont="1" applyFill="1" applyBorder="1" applyAlignment="1">
      <alignment horizontal="center" vertical="center" wrapText="1"/>
    </xf>
    <xf numFmtId="0" fontId="22" fillId="34" borderId="4" xfId="0" applyFont="1" applyFill="1" applyBorder="1" applyAlignment="1">
      <alignment horizontal="center" vertical="center" wrapText="1"/>
    </xf>
    <xf numFmtId="0" fontId="13" fillId="29" borderId="57" xfId="0" applyFont="1" applyFill="1" applyBorder="1" applyAlignment="1">
      <alignment horizontal="center"/>
    </xf>
    <xf numFmtId="0" fontId="13" fillId="29" borderId="28" xfId="0" applyFont="1" applyFill="1" applyBorder="1"/>
    <xf numFmtId="0" fontId="13" fillId="29" borderId="28" xfId="0" applyFont="1" applyFill="1" applyBorder="1" applyAlignment="1">
      <alignment horizontal="center" vertical="center"/>
    </xf>
    <xf numFmtId="167" fontId="13" fillId="29" borderId="28" xfId="0" applyNumberFormat="1" applyFont="1" applyFill="1" applyBorder="1" applyAlignment="1">
      <alignment horizontal="center"/>
    </xf>
    <xf numFmtId="171" fontId="13" fillId="29" borderId="28" xfId="0" applyNumberFormat="1" applyFont="1" applyFill="1" applyBorder="1" applyAlignment="1">
      <alignment horizontal="center" vertical="center"/>
    </xf>
    <xf numFmtId="171" fontId="12" fillId="27" borderId="28" xfId="0" applyNumberFormat="1" applyFont="1" applyFill="1" applyBorder="1" applyAlignment="1">
      <alignment horizontal="center" vertical="center"/>
    </xf>
    <xf numFmtId="0" fontId="13" fillId="14" borderId="57" xfId="0" applyFont="1" applyFill="1" applyBorder="1" applyAlignment="1">
      <alignment horizontal="center"/>
    </xf>
    <xf numFmtId="0" fontId="13" fillId="14" borderId="28" xfId="0" applyFont="1" applyFill="1" applyBorder="1"/>
    <xf numFmtId="0" fontId="13" fillId="14" borderId="28" xfId="0" applyFont="1" applyFill="1" applyBorder="1" applyAlignment="1">
      <alignment horizontal="center" vertical="center"/>
    </xf>
    <xf numFmtId="167" fontId="13" fillId="14" borderId="28" xfId="0" applyNumberFormat="1" applyFont="1" applyFill="1" applyBorder="1" applyAlignment="1">
      <alignment horizontal="center" vertical="center"/>
    </xf>
    <xf numFmtId="171" fontId="13" fillId="14" borderId="28" xfId="0" applyNumberFormat="1" applyFont="1" applyFill="1" applyBorder="1" applyAlignment="1">
      <alignment horizontal="center" vertical="center"/>
    </xf>
    <xf numFmtId="167" fontId="13" fillId="29" borderId="28" xfId="0" applyNumberFormat="1" applyFont="1" applyFill="1" applyBorder="1" applyAlignment="1">
      <alignment horizontal="center" vertical="center"/>
    </xf>
    <xf numFmtId="171" fontId="20" fillId="26" borderId="56" xfId="0" applyNumberFormat="1" applyFont="1" applyFill="1" applyBorder="1" applyAlignment="1">
      <alignment horizontal="center" vertical="center" wrapText="1"/>
    </xf>
    <xf numFmtId="0" fontId="23" fillId="26" borderId="55" xfId="0" applyFont="1" applyFill="1" applyBorder="1" applyAlignment="1">
      <alignment horizontal="center" vertical="center" wrapText="1"/>
    </xf>
    <xf numFmtId="0" fontId="17" fillId="29" borderId="28" xfId="0" applyFont="1" applyFill="1" applyBorder="1"/>
    <xf numFmtId="0" fontId="17" fillId="29" borderId="28" xfId="0" applyFont="1" applyFill="1" applyBorder="1" applyAlignment="1">
      <alignment horizontal="center" vertical="center"/>
    </xf>
    <xf numFmtId="0" fontId="17" fillId="14" borderId="28" xfId="0" applyFont="1" applyFill="1" applyBorder="1"/>
    <xf numFmtId="173" fontId="17" fillId="14" borderId="28" xfId="0" applyNumberFormat="1" applyFont="1" applyFill="1" applyBorder="1" applyAlignment="1">
      <alignment horizontal="center" vertical="center"/>
    </xf>
    <xf numFmtId="2" fontId="17" fillId="14" borderId="28" xfId="0" applyNumberFormat="1" applyFont="1" applyFill="1" applyBorder="1" applyAlignment="1">
      <alignment horizontal="center" vertical="center"/>
    </xf>
    <xf numFmtId="173" fontId="17" fillId="29" borderId="28" xfId="0" applyNumberFormat="1" applyFont="1" applyFill="1" applyBorder="1" applyAlignment="1">
      <alignment horizontal="center" vertical="center"/>
    </xf>
    <xf numFmtId="2" fontId="17" fillId="29" borderId="28" xfId="0" applyNumberFormat="1" applyFont="1" applyFill="1" applyBorder="1" applyAlignment="1">
      <alignment horizontal="center" vertical="center"/>
    </xf>
    <xf numFmtId="173" fontId="17" fillId="16" borderId="28" xfId="0" applyNumberFormat="1" applyFont="1" applyFill="1" applyBorder="1" applyAlignment="1">
      <alignment horizontal="center" vertical="center"/>
    </xf>
    <xf numFmtId="0" fontId="17" fillId="29" borderId="28" xfId="0" applyFont="1" applyFill="1" applyBorder="1" applyAlignment="1">
      <alignment horizontal="justify" vertical="center"/>
    </xf>
    <xf numFmtId="174" fontId="17" fillId="29" borderId="28" xfId="0" applyNumberFormat="1" applyFont="1" applyFill="1" applyBorder="1" applyAlignment="1">
      <alignment horizontal="center" vertical="center"/>
    </xf>
    <xf numFmtId="174" fontId="23" fillId="26" borderId="55" xfId="0" applyNumberFormat="1" applyFont="1" applyFill="1" applyBorder="1" applyAlignment="1">
      <alignment horizontal="center" vertical="center" wrapText="1"/>
    </xf>
    <xf numFmtId="174" fontId="17" fillId="15" borderId="28" xfId="0" applyNumberFormat="1" applyFont="1" applyFill="1" applyBorder="1" applyAlignment="1">
      <alignment horizontal="center" vertical="center"/>
    </xf>
    <xf numFmtId="171" fontId="13" fillId="15" borderId="52" xfId="0" applyNumberFormat="1" applyFont="1" applyFill="1" applyBorder="1" applyAlignment="1">
      <alignment horizontal="center" vertical="center"/>
    </xf>
    <xf numFmtId="0" fontId="13" fillId="16" borderId="72" xfId="0" applyFont="1" applyFill="1" applyBorder="1" applyAlignment="1">
      <alignment horizontal="justify" vertical="center" wrapText="1"/>
    </xf>
    <xf numFmtId="0" fontId="13" fillId="16" borderId="0" xfId="0" applyFont="1" applyFill="1" applyAlignment="1">
      <alignment horizontal="justify" vertical="center" wrapText="1"/>
    </xf>
    <xf numFmtId="0" fontId="25" fillId="0" borderId="0" xfId="0" applyFont="1"/>
    <xf numFmtId="0" fontId="9" fillId="5" borderId="22" xfId="0" applyFont="1" applyFill="1" applyBorder="1" applyAlignment="1">
      <alignment horizontal="center" vertical="center"/>
    </xf>
    <xf numFmtId="0" fontId="9" fillId="5" borderId="22" xfId="0" applyFont="1" applyFill="1" applyBorder="1" applyAlignment="1">
      <alignment horizontal="justify" vertical="center" wrapText="1"/>
    </xf>
    <xf numFmtId="0" fontId="9" fillId="5" borderId="20" xfId="0" applyFont="1" applyFill="1" applyBorder="1" applyAlignment="1">
      <alignment horizontal="center" vertical="center" wrapText="1"/>
    </xf>
    <xf numFmtId="165" fontId="27" fillId="2" borderId="20" xfId="0" applyNumberFormat="1" applyFont="1" applyFill="1" applyBorder="1" applyAlignment="1">
      <alignment horizontal="center" vertical="center"/>
    </xf>
    <xf numFmtId="165" fontId="9" fillId="5" borderId="23" xfId="0" applyNumberFormat="1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justify" vertical="center"/>
    </xf>
    <xf numFmtId="0" fontId="9" fillId="4" borderId="5" xfId="0" applyFont="1" applyFill="1" applyBorder="1" applyAlignment="1">
      <alignment horizontal="center" vertical="center" wrapText="1"/>
    </xf>
    <xf numFmtId="165" fontId="9" fillId="4" borderId="5" xfId="0" applyNumberFormat="1" applyFont="1" applyFill="1" applyBorder="1" applyAlignment="1">
      <alignment horizontal="center" vertical="center" wrapText="1"/>
    </xf>
    <xf numFmtId="0" fontId="26" fillId="3" borderId="22" xfId="0" applyFont="1" applyFill="1" applyBorder="1" applyAlignment="1">
      <alignment horizontal="center" vertical="center"/>
    </xf>
    <xf numFmtId="0" fontId="26" fillId="3" borderId="20" xfId="0" applyFont="1" applyFill="1" applyBorder="1" applyAlignment="1">
      <alignment horizontal="center" vertical="center"/>
    </xf>
    <xf numFmtId="165" fontId="26" fillId="3" borderId="20" xfId="0" applyNumberFormat="1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/>
    </xf>
    <xf numFmtId="0" fontId="26" fillId="3" borderId="10" xfId="0" applyFont="1" applyFill="1" applyBorder="1" applyAlignment="1">
      <alignment horizontal="center" vertical="center"/>
    </xf>
    <xf numFmtId="0" fontId="28" fillId="3" borderId="10" xfId="0" applyFont="1" applyFill="1" applyBorder="1"/>
    <xf numFmtId="165" fontId="26" fillId="3" borderId="25" xfId="0" applyNumberFormat="1" applyFont="1" applyFill="1" applyBorder="1" applyAlignment="1">
      <alignment horizontal="center" vertical="center"/>
    </xf>
    <xf numFmtId="0" fontId="30" fillId="26" borderId="49" xfId="0" applyFont="1" applyFill="1" applyBorder="1" applyAlignment="1">
      <alignment horizontal="center" vertical="center" wrapText="1"/>
    </xf>
    <xf numFmtId="171" fontId="30" fillId="26" borderId="49" xfId="0" applyNumberFormat="1" applyFont="1" applyFill="1" applyBorder="1" applyAlignment="1">
      <alignment horizontal="center" vertical="center" wrapText="1"/>
    </xf>
    <xf numFmtId="0" fontId="9" fillId="29" borderId="51" xfId="0" applyFont="1" applyFill="1" applyBorder="1" applyAlignment="1">
      <alignment horizontal="center" vertical="center"/>
    </xf>
    <xf numFmtId="0" fontId="9" fillId="29" borderId="51" xfId="0" applyFont="1" applyFill="1" applyBorder="1" applyAlignment="1">
      <alignment horizontal="justify" vertical="center" wrapText="1"/>
    </xf>
    <xf numFmtId="0" fontId="9" fillId="29" borderId="50" xfId="0" applyFont="1" applyFill="1" applyBorder="1" applyAlignment="1">
      <alignment horizontal="center" vertical="center" wrapText="1"/>
    </xf>
    <xf numFmtId="171" fontId="27" fillId="27" borderId="50" xfId="0" applyNumberFormat="1" applyFont="1" applyFill="1" applyBorder="1" applyAlignment="1">
      <alignment horizontal="center" vertical="center"/>
    </xf>
    <xf numFmtId="171" fontId="9" fillId="29" borderId="65" xfId="0" applyNumberFormat="1" applyFont="1" applyFill="1" applyBorder="1" applyAlignment="1">
      <alignment horizontal="center" vertical="center"/>
    </xf>
    <xf numFmtId="0" fontId="9" fillId="35" borderId="57" xfId="0" applyFont="1" applyFill="1" applyBorder="1" applyAlignment="1">
      <alignment horizontal="center" vertical="center"/>
    </xf>
    <xf numFmtId="0" fontId="9" fillId="35" borderId="57" xfId="0" applyFont="1" applyFill="1" applyBorder="1" applyAlignment="1">
      <alignment horizontal="justify" vertical="center"/>
    </xf>
    <xf numFmtId="0" fontId="9" fillId="35" borderId="57" xfId="0" applyFont="1" applyFill="1" applyBorder="1" applyAlignment="1">
      <alignment horizontal="center" vertical="center" wrapText="1"/>
    </xf>
    <xf numFmtId="171" fontId="9" fillId="35" borderId="57" xfId="0" applyNumberFormat="1" applyFont="1" applyFill="1" applyBorder="1" applyAlignment="1">
      <alignment horizontal="center" vertical="center"/>
    </xf>
    <xf numFmtId="0" fontId="9" fillId="15" borderId="51" xfId="0" applyFont="1" applyFill="1" applyBorder="1" applyAlignment="1">
      <alignment horizontal="center" vertical="center"/>
    </xf>
    <xf numFmtId="0" fontId="9" fillId="15" borderId="51" xfId="0" applyFont="1" applyFill="1" applyBorder="1" applyAlignment="1">
      <alignment horizontal="justify" vertical="center" wrapText="1"/>
    </xf>
    <xf numFmtId="0" fontId="9" fillId="15" borderId="50" xfId="0" applyFont="1" applyFill="1" applyBorder="1" applyAlignment="1">
      <alignment horizontal="center" vertical="center" wrapText="1"/>
    </xf>
    <xf numFmtId="171" fontId="9" fillId="15" borderId="65" xfId="0" applyNumberFormat="1" applyFont="1" applyFill="1" applyBorder="1" applyAlignment="1">
      <alignment horizontal="center" vertical="center"/>
    </xf>
    <xf numFmtId="0" fontId="31" fillId="26" borderId="51" xfId="0" applyFont="1" applyFill="1" applyBorder="1" applyAlignment="1">
      <alignment horizontal="center" vertical="center"/>
    </xf>
    <xf numFmtId="0" fontId="31" fillId="26" borderId="50" xfId="0" applyFont="1" applyFill="1" applyBorder="1" applyAlignment="1">
      <alignment horizontal="center" vertical="center"/>
    </xf>
    <xf numFmtId="171" fontId="31" fillId="26" borderId="50" xfId="0" applyNumberFormat="1" applyFont="1" applyFill="1" applyBorder="1" applyAlignment="1">
      <alignment horizontal="center" vertical="center"/>
    </xf>
    <xf numFmtId="0" fontId="9" fillId="30" borderId="70" xfId="0" applyFont="1" applyFill="1" applyBorder="1" applyAlignment="1">
      <alignment horizontal="center"/>
    </xf>
    <xf numFmtId="0" fontId="31" fillId="30" borderId="53" xfId="0" applyFont="1" applyFill="1" applyBorder="1" applyAlignment="1">
      <alignment horizontal="center" vertical="center"/>
    </xf>
    <xf numFmtId="0" fontId="32" fillId="30" borderId="53" xfId="0" applyFont="1" applyFill="1" applyBorder="1"/>
    <xf numFmtId="171" fontId="31" fillId="30" borderId="71" xfId="0" applyNumberFormat="1" applyFont="1" applyFill="1" applyBorder="1" applyAlignment="1">
      <alignment horizontal="center" vertical="center"/>
    </xf>
    <xf numFmtId="165" fontId="9" fillId="0" borderId="0" xfId="0" applyNumberFormat="1" applyFont="1"/>
    <xf numFmtId="165" fontId="14" fillId="3" borderId="8" xfId="0" applyNumberFormat="1" applyFont="1" applyFill="1" applyBorder="1" applyAlignment="1">
      <alignment horizontal="center" vertical="center" wrapText="1"/>
    </xf>
    <xf numFmtId="171" fontId="13" fillId="28" borderId="0" xfId="0" applyNumberFormat="1" applyFont="1" applyFill="1" applyAlignment="1">
      <alignment horizontal="center" vertical="center"/>
    </xf>
    <xf numFmtId="0" fontId="34" fillId="3" borderId="7" xfId="0" applyFont="1" applyFill="1" applyBorder="1" applyAlignment="1">
      <alignment horizontal="center" vertical="center" wrapText="1"/>
    </xf>
    <xf numFmtId="0" fontId="34" fillId="3" borderId="8" xfId="0" applyFont="1" applyFill="1" applyBorder="1" applyAlignment="1">
      <alignment horizontal="center" vertical="center" wrapText="1"/>
    </xf>
    <xf numFmtId="0" fontId="34" fillId="3" borderId="9" xfId="0" applyFont="1" applyFill="1" applyBorder="1" applyAlignment="1">
      <alignment horizontal="center" vertical="center" wrapText="1"/>
    </xf>
    <xf numFmtId="0" fontId="25" fillId="4" borderId="6" xfId="0" applyFont="1" applyFill="1" applyBorder="1" applyAlignment="1">
      <alignment horizontal="center" vertical="center" wrapText="1"/>
    </xf>
    <xf numFmtId="0" fontId="25" fillId="4" borderId="6" xfId="0" applyFont="1" applyFill="1" applyBorder="1" applyAlignment="1">
      <alignment horizontal="justify" vertical="center" wrapText="1"/>
    </xf>
    <xf numFmtId="165" fontId="11" fillId="2" borderId="20" xfId="0" applyNumberFormat="1" applyFont="1" applyFill="1" applyBorder="1" applyAlignment="1">
      <alignment horizontal="center" vertical="center"/>
    </xf>
    <xf numFmtId="165" fontId="25" fillId="4" borderId="6" xfId="0" applyNumberFormat="1" applyFont="1" applyFill="1" applyBorder="1" applyAlignment="1">
      <alignment horizontal="center" vertical="center" wrapText="1"/>
    </xf>
    <xf numFmtId="165" fontId="34" fillId="3" borderId="21" xfId="0" applyNumberFormat="1" applyFont="1" applyFill="1" applyBorder="1" applyAlignment="1">
      <alignment horizontal="center" vertical="center"/>
    </xf>
    <xf numFmtId="165" fontId="34" fillId="3" borderId="6" xfId="0" applyNumberFormat="1" applyFont="1" applyFill="1" applyBorder="1" applyAlignment="1">
      <alignment horizontal="center" vertical="center"/>
    </xf>
    <xf numFmtId="10" fontId="12" fillId="36" borderId="13" xfId="0" applyNumberFormat="1" applyFont="1" applyFill="1" applyBorder="1" applyAlignment="1">
      <alignment horizontal="right"/>
    </xf>
    <xf numFmtId="0" fontId="13" fillId="0" borderId="18" xfId="0" applyFont="1" applyBorder="1"/>
    <xf numFmtId="0" fontId="20" fillId="26" borderId="18" xfId="0" applyFont="1" applyFill="1" applyBorder="1" applyAlignment="1">
      <alignment horizontal="center" vertical="center" wrapText="1"/>
    </xf>
    <xf numFmtId="0" fontId="13" fillId="0" borderId="73" xfId="0" applyFont="1" applyBorder="1"/>
    <xf numFmtId="0" fontId="8" fillId="0" borderId="18" xfId="0" applyFont="1" applyBorder="1"/>
    <xf numFmtId="0" fontId="34" fillId="3" borderId="1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wrapText="1"/>
    </xf>
    <xf numFmtId="0" fontId="1" fillId="4" borderId="0" xfId="0" applyFont="1" applyFill="1" applyAlignment="1">
      <alignment horizontal="center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49" fontId="10" fillId="8" borderId="11" xfId="0" applyNumberFormat="1" applyFont="1" applyFill="1" applyBorder="1" applyAlignment="1">
      <alignment horizontal="center" vertical="center"/>
    </xf>
    <xf numFmtId="0" fontId="12" fillId="0" borderId="11" xfId="0" applyFont="1" applyBorder="1" applyAlignment="1">
      <alignment horizontal="left" vertical="center" wrapText="1"/>
    </xf>
    <xf numFmtId="168" fontId="10" fillId="8" borderId="11" xfId="0" applyNumberFormat="1" applyFont="1" applyFill="1" applyBorder="1" applyAlignment="1">
      <alignment horizontal="center" vertical="center" wrapText="1"/>
    </xf>
    <xf numFmtId="165" fontId="10" fillId="8" borderId="11" xfId="0" applyNumberFormat="1" applyFont="1" applyFill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/>
    </xf>
    <xf numFmtId="168" fontId="10" fillId="0" borderId="11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wrapText="1"/>
    </xf>
    <xf numFmtId="165" fontId="10" fillId="0" borderId="11" xfId="1" applyNumberFormat="1" applyFont="1" applyBorder="1" applyAlignment="1" applyProtection="1">
      <alignment horizontal="center" vertical="center"/>
    </xf>
    <xf numFmtId="49" fontId="12" fillId="0" borderId="14" xfId="0" applyNumberFormat="1" applyFont="1" applyBorder="1" applyAlignment="1">
      <alignment horizontal="center" vertical="center"/>
    </xf>
    <xf numFmtId="0" fontId="12" fillId="6" borderId="11" xfId="0" applyFont="1" applyFill="1" applyBorder="1" applyAlignment="1">
      <alignment horizontal="left" vertical="center" wrapText="1"/>
    </xf>
    <xf numFmtId="0" fontId="12" fillId="9" borderId="11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left"/>
    </xf>
    <xf numFmtId="165" fontId="10" fillId="8" borderId="11" xfId="0" applyNumberFormat="1" applyFont="1" applyFill="1" applyBorder="1" applyAlignment="1">
      <alignment horizontal="right"/>
    </xf>
    <xf numFmtId="165" fontId="10" fillId="8" borderId="11" xfId="1" applyNumberFormat="1" applyFont="1" applyFill="1" applyBorder="1" applyAlignment="1" applyProtection="1">
      <alignment horizontal="right"/>
    </xf>
    <xf numFmtId="165" fontId="12" fillId="10" borderId="11" xfId="0" applyNumberFormat="1" applyFont="1" applyFill="1" applyBorder="1" applyAlignment="1">
      <alignment horizontal="right"/>
    </xf>
    <xf numFmtId="49" fontId="12" fillId="0" borderId="14" xfId="0" applyNumberFormat="1" applyFont="1" applyBorder="1" applyAlignment="1">
      <alignment horizontal="center" wrapText="1"/>
    </xf>
    <xf numFmtId="0" fontId="12" fillId="7" borderId="18" xfId="0" applyFont="1" applyFill="1" applyBorder="1" applyAlignment="1">
      <alignment horizontal="center"/>
    </xf>
    <xf numFmtId="169" fontId="10" fillId="0" borderId="11" xfId="2" applyNumberFormat="1" applyFont="1" applyBorder="1" applyAlignment="1" applyProtection="1">
      <alignment horizontal="left"/>
    </xf>
    <xf numFmtId="0" fontId="12" fillId="10" borderId="11" xfId="0" applyFont="1" applyFill="1" applyBorder="1" applyAlignment="1">
      <alignment horizontal="left" wrapText="1"/>
    </xf>
    <xf numFmtId="0" fontId="12" fillId="0" borderId="1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165" fontId="10" fillId="8" borderId="11" xfId="0" applyNumberFormat="1" applyFont="1" applyFill="1" applyBorder="1" applyAlignment="1">
      <alignment horizontal="right" vertical="center"/>
    </xf>
    <xf numFmtId="0" fontId="10" fillId="0" borderId="11" xfId="0" applyFont="1" applyBorder="1" applyAlignment="1">
      <alignment horizontal="left" vertical="center" wrapText="1"/>
    </xf>
    <xf numFmtId="0" fontId="12" fillId="10" borderId="11" xfId="0" applyFont="1" applyFill="1" applyBorder="1" applyAlignment="1">
      <alignment horizontal="center" wrapText="1"/>
    </xf>
    <xf numFmtId="165" fontId="12" fillId="8" borderId="11" xfId="0" applyNumberFormat="1" applyFont="1" applyFill="1" applyBorder="1" applyAlignment="1">
      <alignment horizontal="right" vertical="center"/>
    </xf>
    <xf numFmtId="0" fontId="10" fillId="0" borderId="11" xfId="0" applyFont="1" applyBorder="1" applyAlignment="1">
      <alignment horizontal="left" wrapText="1"/>
    </xf>
    <xf numFmtId="0" fontId="12" fillId="10" borderId="11" xfId="0" applyFont="1" applyFill="1" applyBorder="1" applyAlignment="1">
      <alignment horizontal="left"/>
    </xf>
    <xf numFmtId="0" fontId="10" fillId="0" borderId="15" xfId="0" applyFont="1" applyBorder="1" applyAlignment="1">
      <alignment horizontal="left" wrapText="1"/>
    </xf>
    <xf numFmtId="165" fontId="10" fillId="10" borderId="11" xfId="0" applyNumberFormat="1" applyFont="1" applyFill="1" applyBorder="1" applyAlignment="1">
      <alignment horizontal="right"/>
    </xf>
    <xf numFmtId="165" fontId="10" fillId="13" borderId="11" xfId="0" applyNumberFormat="1" applyFont="1" applyFill="1" applyBorder="1" applyAlignment="1">
      <alignment horizontal="right"/>
    </xf>
    <xf numFmtId="165" fontId="10" fillId="13" borderId="11" xfId="1" applyNumberFormat="1" applyFont="1" applyFill="1" applyBorder="1" applyAlignment="1" applyProtection="1">
      <alignment horizontal="right"/>
    </xf>
    <xf numFmtId="0" fontId="12" fillId="22" borderId="32" xfId="0" applyFont="1" applyFill="1" applyBorder="1" applyAlignment="1">
      <alignment horizontal="left"/>
    </xf>
    <xf numFmtId="0" fontId="12" fillId="22" borderId="34" xfId="0" applyFont="1" applyFill="1" applyBorder="1" applyAlignment="1">
      <alignment horizontal="left"/>
    </xf>
    <xf numFmtId="165" fontId="12" fillId="22" borderId="32" xfId="0" applyNumberFormat="1" applyFont="1" applyFill="1" applyBorder="1" applyAlignment="1">
      <alignment horizontal="right"/>
    </xf>
    <xf numFmtId="0" fontId="13" fillId="0" borderId="34" xfId="0" applyFont="1" applyBorder="1" applyAlignment="1">
      <alignment horizontal="right"/>
    </xf>
    <xf numFmtId="0" fontId="12" fillId="0" borderId="32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165" fontId="12" fillId="20" borderId="32" xfId="0" applyNumberFormat="1" applyFont="1" applyFill="1" applyBorder="1" applyAlignment="1">
      <alignment horizontal="right" vertical="center"/>
    </xf>
    <xf numFmtId="165" fontId="12" fillId="20" borderId="34" xfId="0" applyNumberFormat="1" applyFont="1" applyFill="1" applyBorder="1" applyAlignment="1">
      <alignment horizontal="right" vertical="center"/>
    </xf>
    <xf numFmtId="0" fontId="10" fillId="0" borderId="32" xfId="0" applyFont="1" applyBorder="1" applyAlignment="1">
      <alignment horizontal="left" wrapText="1"/>
    </xf>
    <xf numFmtId="0" fontId="10" fillId="0" borderId="34" xfId="0" applyFont="1" applyBorder="1" applyAlignment="1">
      <alignment horizontal="left" wrapText="1"/>
    </xf>
    <xf numFmtId="165" fontId="10" fillId="20" borderId="43" xfId="0" applyNumberFormat="1" applyFont="1" applyFill="1" applyBorder="1" applyAlignment="1">
      <alignment horizontal="right"/>
    </xf>
    <xf numFmtId="171" fontId="10" fillId="20" borderId="32" xfId="1" applyNumberFormat="1" applyFont="1" applyFill="1" applyBorder="1" applyAlignment="1" applyProtection="1">
      <alignment horizontal="right"/>
    </xf>
    <xf numFmtId="171" fontId="10" fillId="0" borderId="34" xfId="1" applyNumberFormat="1" applyFont="1" applyBorder="1" applyAlignment="1">
      <alignment horizontal="right"/>
    </xf>
    <xf numFmtId="0" fontId="10" fillId="0" borderId="33" xfId="0" applyFont="1" applyBorder="1" applyAlignment="1">
      <alignment horizontal="left" wrapText="1"/>
    </xf>
    <xf numFmtId="0" fontId="12" fillId="19" borderId="32" xfId="0" applyFont="1" applyFill="1" applyBorder="1" applyAlignment="1">
      <alignment horizontal="left" vertical="center" wrapText="1"/>
    </xf>
    <xf numFmtId="0" fontId="12" fillId="19" borderId="34" xfId="0" applyFont="1" applyFill="1" applyBorder="1" applyAlignment="1">
      <alignment horizontal="left" vertical="center" wrapText="1"/>
    </xf>
    <xf numFmtId="0" fontId="12" fillId="21" borderId="32" xfId="0" applyFont="1" applyFill="1" applyBorder="1" applyAlignment="1">
      <alignment horizontal="center" vertical="center"/>
    </xf>
    <xf numFmtId="0" fontId="12" fillId="21" borderId="34" xfId="0" applyFont="1" applyFill="1" applyBorder="1" applyAlignment="1">
      <alignment horizontal="center" vertical="center"/>
    </xf>
    <xf numFmtId="165" fontId="10" fillId="20" borderId="32" xfId="0" applyNumberFormat="1" applyFont="1" applyFill="1" applyBorder="1" applyAlignment="1">
      <alignment horizontal="right"/>
    </xf>
    <xf numFmtId="165" fontId="10" fillId="20" borderId="34" xfId="0" applyNumberFormat="1" applyFont="1" applyFill="1" applyBorder="1" applyAlignment="1">
      <alignment horizontal="right"/>
    </xf>
    <xf numFmtId="49" fontId="12" fillId="0" borderId="33" xfId="0" applyNumberFormat="1" applyFont="1" applyBorder="1" applyAlignment="1">
      <alignment horizontal="center" vertical="center"/>
    </xf>
    <xf numFmtId="0" fontId="12" fillId="0" borderId="32" xfId="0" applyFont="1" applyBorder="1" applyAlignment="1">
      <alignment horizontal="center" wrapText="1"/>
    </xf>
    <xf numFmtId="0" fontId="12" fillId="0" borderId="33" xfId="0" applyFont="1" applyBorder="1" applyAlignment="1">
      <alignment horizontal="center" wrapText="1"/>
    </xf>
    <xf numFmtId="0" fontId="12" fillId="0" borderId="34" xfId="0" applyFont="1" applyBorder="1" applyAlignment="1">
      <alignment horizontal="center" wrapText="1"/>
    </xf>
    <xf numFmtId="0" fontId="12" fillId="22" borderId="32" xfId="0" applyFont="1" applyFill="1" applyBorder="1" applyAlignment="1">
      <alignment horizontal="center" wrapText="1"/>
    </xf>
    <xf numFmtId="0" fontId="12" fillId="22" borderId="34" xfId="0" applyFont="1" applyFill="1" applyBorder="1" applyAlignment="1">
      <alignment horizontal="center" wrapText="1"/>
    </xf>
    <xf numFmtId="165" fontId="12" fillId="24" borderId="43" xfId="0" applyNumberFormat="1" applyFont="1" applyFill="1" applyBorder="1" applyAlignment="1">
      <alignment horizontal="right"/>
    </xf>
    <xf numFmtId="0" fontId="10" fillId="0" borderId="32" xfId="0" applyFont="1" applyBorder="1" applyAlignment="1">
      <alignment horizontal="left" vertical="center" wrapText="1"/>
    </xf>
    <xf numFmtId="0" fontId="10" fillId="0" borderId="34" xfId="0" applyFont="1" applyBorder="1" applyAlignment="1">
      <alignment horizontal="left" vertical="center" wrapText="1"/>
    </xf>
    <xf numFmtId="0" fontId="12" fillId="22" borderId="32" xfId="0" applyFont="1" applyFill="1" applyBorder="1" applyAlignment="1">
      <alignment horizontal="left" wrapText="1"/>
    </xf>
    <xf numFmtId="0" fontId="12" fillId="22" borderId="34" xfId="0" applyFont="1" applyFill="1" applyBorder="1" applyAlignment="1">
      <alignment horizontal="left" wrapText="1"/>
    </xf>
    <xf numFmtId="165" fontId="10" fillId="20" borderId="32" xfId="0" applyNumberFormat="1" applyFont="1" applyFill="1" applyBorder="1" applyAlignment="1">
      <alignment horizontal="right" vertical="center"/>
    </xf>
    <xf numFmtId="0" fontId="13" fillId="0" borderId="34" xfId="0" applyFont="1" applyBorder="1" applyAlignment="1">
      <alignment horizontal="right" vertical="center"/>
    </xf>
    <xf numFmtId="0" fontId="10" fillId="0" borderId="32" xfId="0" applyFont="1" applyBorder="1" applyAlignment="1">
      <alignment horizontal="center" wrapText="1"/>
    </xf>
    <xf numFmtId="0" fontId="10" fillId="0" borderId="33" xfId="0" applyFont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169" fontId="10" fillId="0" borderId="32" xfId="2" applyNumberFormat="1" applyFont="1" applyBorder="1" applyAlignment="1" applyProtection="1">
      <alignment horizontal="left"/>
    </xf>
    <xf numFmtId="169" fontId="10" fillId="0" borderId="34" xfId="2" applyNumberFormat="1" applyFont="1" applyBorder="1" applyAlignment="1" applyProtection="1">
      <alignment horizontal="left"/>
    </xf>
    <xf numFmtId="0" fontId="10" fillId="23" borderId="45" xfId="0" applyFont="1" applyFill="1" applyBorder="1" applyAlignment="1">
      <alignment horizontal="center"/>
    </xf>
    <xf numFmtId="0" fontId="10" fillId="23" borderId="46" xfId="0" applyFont="1" applyFill="1" applyBorder="1" applyAlignment="1">
      <alignment horizontal="center"/>
    </xf>
    <xf numFmtId="0" fontId="10" fillId="23" borderId="47" xfId="0" applyFont="1" applyFill="1" applyBorder="1" applyAlignment="1">
      <alignment horizontal="center"/>
    </xf>
    <xf numFmtId="49" fontId="12" fillId="0" borderId="33" xfId="0" applyNumberFormat="1" applyFont="1" applyBorder="1" applyAlignment="1">
      <alignment horizontal="center" vertical="justify"/>
    </xf>
    <xf numFmtId="0" fontId="10" fillId="0" borderId="32" xfId="0" applyFont="1" applyBorder="1" applyAlignment="1">
      <alignment horizontal="left"/>
    </xf>
    <xf numFmtId="0" fontId="10" fillId="0" borderId="34" xfId="0" applyFont="1" applyBorder="1" applyAlignment="1">
      <alignment horizontal="left"/>
    </xf>
    <xf numFmtId="0" fontId="12" fillId="0" borderId="32" xfId="0" applyFont="1" applyBorder="1" applyAlignment="1">
      <alignment horizontal="left" vertical="center" wrapText="1"/>
    </xf>
    <xf numFmtId="0" fontId="12" fillId="0" borderId="34" xfId="0" applyFont="1" applyBorder="1" applyAlignment="1">
      <alignment horizontal="left" vertical="center" wrapText="1"/>
    </xf>
    <xf numFmtId="165" fontId="10" fillId="20" borderId="32" xfId="0" applyNumberFormat="1" applyFont="1" applyFill="1" applyBorder="1" applyAlignment="1">
      <alignment horizontal="center"/>
    </xf>
    <xf numFmtId="165" fontId="10" fillId="20" borderId="34" xfId="0" applyNumberFormat="1" applyFont="1" applyFill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0" fillId="0" borderId="38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14" fontId="10" fillId="0" borderId="38" xfId="0" applyNumberFormat="1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49" fontId="10" fillId="20" borderId="32" xfId="0" applyNumberFormat="1" applyFont="1" applyFill="1" applyBorder="1" applyAlignment="1">
      <alignment horizontal="center" vertical="center"/>
    </xf>
    <xf numFmtId="0" fontId="10" fillId="20" borderId="34" xfId="0" applyFont="1" applyFill="1" applyBorder="1" applyAlignment="1">
      <alignment horizontal="center" vertical="center"/>
    </xf>
    <xf numFmtId="14" fontId="10" fillId="20" borderId="32" xfId="0" applyNumberFormat="1" applyFont="1" applyFill="1" applyBorder="1" applyAlignment="1">
      <alignment horizontal="center" vertical="center" wrapText="1"/>
    </xf>
    <xf numFmtId="14" fontId="10" fillId="20" borderId="34" xfId="0" applyNumberFormat="1" applyFont="1" applyFill="1" applyBorder="1" applyAlignment="1">
      <alignment horizontal="center" vertical="center" wrapText="1"/>
    </xf>
    <xf numFmtId="171" fontId="10" fillId="0" borderId="32" xfId="1" applyNumberFormat="1" applyFont="1" applyBorder="1" applyAlignment="1" applyProtection="1">
      <alignment horizontal="center" vertical="center"/>
    </xf>
    <xf numFmtId="171" fontId="10" fillId="0" borderId="42" xfId="1" applyNumberFormat="1" applyFont="1" applyBorder="1" applyAlignment="1" applyProtection="1">
      <alignment horizontal="center" vertical="center"/>
    </xf>
    <xf numFmtId="0" fontId="24" fillId="4" borderId="0" xfId="0" applyFont="1" applyFill="1" applyAlignment="1">
      <alignment horizontal="center"/>
    </xf>
    <xf numFmtId="0" fontId="29" fillId="25" borderId="0" xfId="0" applyFont="1" applyFill="1" applyAlignment="1">
      <alignment horizontal="center"/>
    </xf>
    <xf numFmtId="0" fontId="20" fillId="30" borderId="28" xfId="0" applyFont="1" applyFill="1" applyBorder="1" applyAlignment="1">
      <alignment horizontal="center"/>
    </xf>
    <xf numFmtId="0" fontId="19" fillId="25" borderId="0" xfId="0" applyFont="1" applyFill="1" applyAlignment="1">
      <alignment horizontal="center" vertical="center"/>
    </xf>
    <xf numFmtId="0" fontId="20" fillId="26" borderId="58" xfId="0" applyFont="1" applyFill="1" applyBorder="1" applyAlignment="1">
      <alignment horizontal="center" vertical="center"/>
    </xf>
    <xf numFmtId="0" fontId="13" fillId="0" borderId="59" xfId="0" applyFont="1" applyBorder="1" applyAlignment="1">
      <alignment horizontal="center" vertical="center"/>
    </xf>
    <xf numFmtId="0" fontId="13" fillId="0" borderId="54" xfId="0" applyFont="1" applyBorder="1" applyAlignment="1">
      <alignment horizontal="center" vertical="center"/>
    </xf>
    <xf numFmtId="0" fontId="20" fillId="30" borderId="60" xfId="0" applyFont="1" applyFill="1" applyBorder="1" applyAlignment="1">
      <alignment horizontal="center"/>
    </xf>
    <xf numFmtId="0" fontId="20" fillId="30" borderId="61" xfId="0" applyFont="1" applyFill="1" applyBorder="1" applyAlignment="1">
      <alignment horizontal="center"/>
    </xf>
    <xf numFmtId="0" fontId="20" fillId="30" borderId="62" xfId="0" applyFont="1" applyFill="1" applyBorder="1" applyAlignment="1">
      <alignment horizontal="center"/>
    </xf>
    <xf numFmtId="0" fontId="34" fillId="3" borderId="6" xfId="0" applyFont="1" applyFill="1" applyBorder="1" applyAlignment="1">
      <alignment horizontal="center"/>
    </xf>
    <xf numFmtId="0" fontId="33" fillId="4" borderId="0" xfId="0" applyFont="1" applyFill="1" applyAlignment="1">
      <alignment horizontal="center" vertical="center"/>
    </xf>
    <xf numFmtId="0" fontId="17" fillId="29" borderId="52" xfId="0" applyFont="1" applyFill="1" applyBorder="1" applyAlignment="1">
      <alignment horizontal="center" vertical="center"/>
    </xf>
    <xf numFmtId="0" fontId="17" fillId="29" borderId="68" xfId="0" applyFont="1" applyFill="1" applyBorder="1" applyAlignment="1">
      <alignment horizontal="center" vertical="center"/>
    </xf>
    <xf numFmtId="0" fontId="17" fillId="29" borderId="57" xfId="0" applyFont="1" applyFill="1" applyBorder="1" applyAlignment="1">
      <alignment horizontal="center" vertical="center"/>
    </xf>
    <xf numFmtId="0" fontId="17" fillId="15" borderId="63" xfId="0" applyFont="1" applyFill="1" applyBorder="1" applyAlignment="1">
      <alignment horizontal="center" vertical="center"/>
    </xf>
    <xf numFmtId="0" fontId="17" fillId="15" borderId="67" xfId="0" applyFont="1" applyFill="1" applyBorder="1" applyAlignment="1">
      <alignment horizontal="center" vertical="center"/>
    </xf>
    <xf numFmtId="0" fontId="17" fillId="14" borderId="52" xfId="0" applyFont="1" applyFill="1" applyBorder="1" applyAlignment="1">
      <alignment horizontal="center" vertical="center"/>
    </xf>
    <xf numFmtId="0" fontId="17" fillId="14" borderId="68" xfId="0" applyFont="1" applyFill="1" applyBorder="1" applyAlignment="1">
      <alignment horizontal="center" vertical="center"/>
    </xf>
    <xf numFmtId="0" fontId="17" fillId="14" borderId="57" xfId="0" applyFont="1" applyFill="1" applyBorder="1" applyAlignment="1">
      <alignment horizontal="center" vertical="center"/>
    </xf>
    <xf numFmtId="0" fontId="23" fillId="26" borderId="56" xfId="0" applyFont="1" applyFill="1" applyBorder="1" applyAlignment="1">
      <alignment horizontal="center" vertical="center" wrapText="1"/>
    </xf>
    <xf numFmtId="0" fontId="23" fillId="26" borderId="64" xfId="0" applyFont="1" applyFill="1" applyBorder="1" applyAlignment="1">
      <alignment horizontal="center" vertical="center" wrapText="1"/>
    </xf>
    <xf numFmtId="0" fontId="23" fillId="26" borderId="55" xfId="0" applyFont="1" applyFill="1" applyBorder="1" applyAlignment="1">
      <alignment horizontal="center" vertical="center" wrapText="1"/>
    </xf>
    <xf numFmtId="0" fontId="17" fillId="29" borderId="63" xfId="0" applyFont="1" applyFill="1" applyBorder="1" applyAlignment="1">
      <alignment horizontal="center" vertical="center"/>
    </xf>
    <xf numFmtId="0" fontId="17" fillId="29" borderId="67" xfId="0" applyFont="1" applyFill="1" applyBorder="1" applyAlignment="1">
      <alignment horizontal="center" vertical="center"/>
    </xf>
    <xf numFmtId="0" fontId="17" fillId="29" borderId="69" xfId="0" applyFont="1" applyFill="1" applyBorder="1" applyAlignment="1">
      <alignment horizontal="center" vertical="center"/>
    </xf>
    <xf numFmtId="0" fontId="17" fillId="29" borderId="65" xfId="0" applyFont="1" applyFill="1" applyBorder="1" applyAlignment="1">
      <alignment horizontal="center" vertical="center"/>
    </xf>
    <xf numFmtId="0" fontId="17" fillId="29" borderId="66" xfId="0" applyFont="1" applyFill="1" applyBorder="1" applyAlignment="1">
      <alignment horizontal="center" vertical="center"/>
    </xf>
    <xf numFmtId="0" fontId="17" fillId="29" borderId="51" xfId="0" applyFont="1" applyFill="1" applyBorder="1" applyAlignment="1">
      <alignment horizontal="center" vertical="center"/>
    </xf>
    <xf numFmtId="0" fontId="20" fillId="30" borderId="0" xfId="0" applyFont="1" applyFill="1" applyAlignment="1">
      <alignment horizontal="center" vertical="center" wrapText="1"/>
    </xf>
    <xf numFmtId="0" fontId="20" fillId="3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3" fillId="28" borderId="0" xfId="0" applyFont="1" applyFill="1" applyAlignment="1">
      <alignment horizontal="center" wrapText="1"/>
    </xf>
    <xf numFmtId="0" fontId="13" fillId="28" borderId="0" xfId="0" applyFont="1" applyFill="1" applyAlignment="1">
      <alignment horizontal="center" vertical="center"/>
    </xf>
    <xf numFmtId="172" fontId="13" fillId="28" borderId="0" xfId="0" applyNumberFormat="1" applyFont="1" applyFill="1" applyAlignment="1">
      <alignment horizontal="center" vertical="center"/>
    </xf>
    <xf numFmtId="0" fontId="13" fillId="25" borderId="0" xfId="0" applyFont="1" applyFill="1" applyAlignment="1">
      <alignment horizontal="center" wrapText="1"/>
    </xf>
    <xf numFmtId="0" fontId="13" fillId="25" borderId="0" xfId="0" applyFont="1" applyFill="1" applyAlignment="1">
      <alignment horizontal="center" vertical="center"/>
    </xf>
    <xf numFmtId="171" fontId="13" fillId="25" borderId="0" xfId="0" applyNumberFormat="1" applyFont="1" applyFill="1" applyAlignment="1">
      <alignment horizontal="center" vertical="center"/>
    </xf>
    <xf numFmtId="0" fontId="19" fillId="25" borderId="0" xfId="0" applyFont="1" applyFill="1" applyAlignment="1">
      <alignment horizontal="center"/>
    </xf>
    <xf numFmtId="0" fontId="34" fillId="3" borderId="6" xfId="0" applyNumberFormat="1" applyFont="1" applyFill="1" applyBorder="1" applyAlignment="1">
      <alignment horizontal="center" vertical="center"/>
    </xf>
    <xf numFmtId="0" fontId="20" fillId="30" borderId="71" xfId="0" applyFont="1" applyFill="1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171" fontId="34" fillId="3" borderId="6" xfId="0" applyNumberFormat="1" applyFont="1" applyFill="1" applyBorder="1" applyAlignment="1">
      <alignment horizontal="center" vertical="center"/>
    </xf>
  </cellXfs>
  <cellStyles count="5">
    <cellStyle name="Excel Built-in Normal" xfId="4" xr:uid="{00000000-0005-0000-0000-000007000000}"/>
    <cellStyle name="Moeda" xfId="1" builtinId="4"/>
    <cellStyle name="Moeda 2" xfId="3" xr:uid="{00000000-0005-0000-0000-000006000000}"/>
    <cellStyle name="Normal" xfId="0" builtinId="0"/>
    <cellStyle name="Porcentagem" xfId="2" builtinId="5"/>
  </cellStyles>
  <dxfs count="9">
    <dxf>
      <font>
        <strike val="0"/>
        <outline val="0"/>
        <shadow val="0"/>
        <u val="none"/>
        <vertAlign val="baseline"/>
        <sz val="8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8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8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8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8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8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8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8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8"/>
        <name val="Times New Roman"/>
        <family val="1"/>
        <scheme val="none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7C7C7C"/>
      <rgbColor rgb="FF9999FF"/>
      <rgbColor rgb="FF993366"/>
      <rgbColor rgb="FFEDEDED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E2F0D9"/>
      <rgbColor rgb="FFFFFF99"/>
      <rgbColor rgb="FFC5E0B4"/>
      <rgbColor rgb="FFFF99CC"/>
      <rgbColor rgb="FFCC99FF"/>
      <rgbColor rgb="FFF4B183"/>
      <rgbColor rgb="FF3366FF"/>
      <rgbColor rgb="FF45DF54"/>
      <rgbColor rgb="FF99CC00"/>
      <rgbColor rgb="FFFFC0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clif/Desktop/IFPB-ES%20(Drive)/CCL%202023/(Preg&#227;o)%20Terceirizados%20Napne,%20Apoio%20Escolar%20e%20Limpeza/PLANILHA%20ESTATISTICA%20DE%20PRE&#199;OS%20-%20APOIO%20ADMINISTRATIVO%20ESCOLAR%20E%20ENCARREGADO%20-%20IFPB-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ente"/>
      <sheetName val="Encarregado"/>
      <sheetName val="Quadro Resumo"/>
      <sheetName val="APOIO ESCOLAR"/>
      <sheetName val="ENCARREGADO_"/>
      <sheetName val="Materiais e Equipamentos"/>
      <sheetName val="Uniformes"/>
    </sheetNames>
    <sheetDataSet>
      <sheetData sheetId="0"/>
      <sheetData sheetId="1"/>
      <sheetData sheetId="2"/>
      <sheetData sheetId="3"/>
      <sheetData sheetId="4"/>
      <sheetData sheetId="5">
        <row r="8">
          <cell r="F8">
            <v>0</v>
          </cell>
        </row>
      </sheetData>
      <sheetData sheetId="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ITL33" displayName="CITL33" ref="F15:G20" totalsRowShown="0">
  <autoFilter ref="F15:G20" xr:uid="{00000000-0009-0000-0100-000001000000}"/>
  <tableColumns count="2">
    <tableColumn id="1" xr3:uid="{00000000-0010-0000-0000-000001000000}" name="Descrição"/>
    <tableColumn id="2" xr3:uid="{00000000-0010-0000-0000-000002000000}" name="Percentual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09000000}" name="ResumoPosto30" displayName="ResumoPosto30" ref="A142:D150" totalsRowShown="0">
  <autoFilter ref="A142:D150" xr:uid="{00000000-0009-0000-0100-000013000000}"/>
  <tableColumns count="4">
    <tableColumn id="1" xr3:uid="{00000000-0010-0000-0900-000001000000}" name="Item"/>
    <tableColumn id="2" xr3:uid="{00000000-0010-0000-0900-000002000000}" name="Mão de obra vinculada à execução contratual"/>
    <tableColumn id="3" xr3:uid="{00000000-0010-0000-0900-000003000000}" name="-"/>
    <tableColumn id="4" xr3:uid="{00000000-0010-0000-0900-000004000000}" name="Valor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0A000000}" name="Submódulo2.14" displayName="Submódulo2.14" ref="A21:D24">
  <tableColumns count="4">
    <tableColumn id="1" xr3:uid="{00000000-0010-0000-0A00-000001000000}" name="2.1" totalsRowLabel="Total"/>
    <tableColumn id="2" xr3:uid="{00000000-0010-0000-0A00-000002000000}" name="13º (décimo terceiro) Salário e Adicional de Férias"/>
    <tableColumn id="3" xr3:uid="{00000000-0010-0000-0A00-000003000000}" name="Comentário"/>
    <tableColumn id="4" xr3:uid="{00000000-0010-0000-0A00-000004000000}" name="Valor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0B000000}" name="Submódulo2.26" displayName="Submódulo2.26" ref="A32:D41">
  <tableColumns count="4">
    <tableColumn id="1" xr3:uid="{00000000-0010-0000-0B00-000001000000}" name="2.2" totalsRowLabel="Total"/>
    <tableColumn id="2" xr3:uid="{00000000-0010-0000-0B00-000002000000}" name="GPS, FGTS e outras contribuições"/>
    <tableColumn id="3" xr3:uid="{00000000-0010-0000-0B00-000003000000}" name="Percentual"/>
    <tableColumn id="4" xr3:uid="{00000000-0010-0000-0B00-000004000000}" name="Valor 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0C000000}" name="Submódulo2.38" displayName="Submódulo2.38" ref="A48:D54">
  <tableColumns count="4">
    <tableColumn id="1" xr3:uid="{00000000-0010-0000-0C00-000001000000}" name="2.3" totalsRowLabel="Total"/>
    <tableColumn id="2" xr3:uid="{00000000-0010-0000-0C00-000002000000}" name="Benefícios Mensais e Diários"/>
    <tableColumn id="3" xr3:uid="{00000000-0010-0000-0C00-000003000000}" name="Comentário"/>
    <tableColumn id="4" xr3:uid="{00000000-0010-0000-0C00-000004000000}" name="Valor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0D000000}" name="Submódulo4.125" displayName="Submódulo4.125" ref="A89:D96">
  <tableColumns count="4">
    <tableColumn id="1" xr3:uid="{00000000-0010-0000-0D00-000001000000}" name="4.1" totalsRowLabel="Total"/>
    <tableColumn id="2" xr3:uid="{00000000-0010-0000-0D00-000002000000}" name="Substituto nas Ausências Legais"/>
    <tableColumn id="3" xr3:uid="{00000000-0010-0000-0D00-000003000000}" name="Dias de ausência"/>
    <tableColumn id="4" xr3:uid="{00000000-0010-0000-0D00-000004000000}" name="Valor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0E000000}" name="Submódulo4.226" displayName="Submódulo4.226" ref="A105:D107">
  <tableColumns count="4">
    <tableColumn id="1" xr3:uid="{00000000-0010-0000-0E00-000001000000}" name="4.2" totalsRowLabel="Total"/>
    <tableColumn id="2" xr3:uid="{00000000-0010-0000-0E00-000002000000}" name="Substituto na Intrajornada "/>
    <tableColumn id="3" xr3:uid="{00000000-0010-0000-0E00-000003000000}" name="Comentário"/>
    <tableColumn id="4" xr3:uid="{00000000-0010-0000-0E00-000004000000}" name="Valor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0F000000}" name="Tabela6" displayName="Tabela6" ref="F23:G25" totalsRowShown="0">
  <autoFilter ref="F23:G25" xr:uid="{00000000-0009-0000-0100-00001F000000}"/>
  <tableColumns count="2">
    <tableColumn id="1" xr3:uid="{00000000-0010-0000-0F00-000001000000}" name="Descrição"/>
    <tableColumn id="2" xr3:uid="{00000000-0010-0000-0F00-000002000000}" name="Valor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10000000}" name="Table4252" displayName="Table4252" ref="A2:D7" totalsRowShown="0">
  <tableColumns count="4">
    <tableColumn id="1" xr3:uid="{00000000-0010-0000-1000-000001000000}" name="Item"/>
    <tableColumn id="2" xr3:uid="{00000000-0010-0000-1000-000002000000}" name="Descrição"/>
    <tableColumn id="3" xr3:uid="{00000000-0010-0000-1000-000003000000}" name="Comentário"/>
    <tableColumn id="4" xr3:uid="{00000000-0010-0000-1000-000004000000}" name="Valor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11000000}" name="Table83969" displayName="Table83969" ref="A44:D45" totalsRowShown="0">
  <autoFilter ref="A44:D45" xr:uid="{00000000-0009-0000-0100-000023000000}"/>
  <tableColumns count="4">
    <tableColumn id="1" xr3:uid="{00000000-0010-0000-1100-000001000000}" name="Item"/>
    <tableColumn id="2" xr3:uid="{00000000-0010-0000-1100-000002000000}" name="Rubrica"/>
    <tableColumn id="3" xr3:uid="{00000000-0010-0000-1100-000003000000}" name="Base de Cálculo"/>
    <tableColumn id="4" xr3:uid="{00000000-0010-0000-1100-000004000000}" name="Memória de Cálculo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12000000}" name="Table8423771" displayName="Table8423771" ref="A79:D85" totalsRowShown="0">
  <autoFilter ref="A79:D85" xr:uid="{00000000-0009-0000-0100-000025000000}"/>
  <tableColumns count="4">
    <tableColumn id="1" xr3:uid="{00000000-0010-0000-1200-000001000000}" name="Item"/>
    <tableColumn id="2" xr3:uid="{00000000-0010-0000-1200-000002000000}" name="Rubrica"/>
    <tableColumn id="3" xr3:uid="{00000000-0010-0000-1200-000003000000}" name="Base de Cálculo"/>
    <tableColumn id="4" xr3:uid="{00000000-0010-0000-1200-000004000000}" name="Memória de Cálculo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DadosDesligamento32" displayName="DadosDesligamento32" ref="F9:G12" totalsRowShown="0">
  <autoFilter ref="F9:G12" xr:uid="{00000000-0009-0000-0100-000003000000}"/>
  <tableColumns count="2">
    <tableColumn id="1" xr3:uid="{00000000-0010-0000-0100-000001000000}" name="Tipos"/>
    <tableColumn id="2" xr3:uid="{00000000-0010-0000-0100-000002000000}" name="Percentual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0000000-000C-0000-FFFF-FFFF13000000}" name="Table842385173" displayName="Table842385173" ref="A124:D128" totalsRowShown="0">
  <autoFilter ref="A124:D128" xr:uid="{00000000-0009-0000-0100-000027000000}"/>
  <tableColumns count="4">
    <tableColumn id="1" xr3:uid="{00000000-0010-0000-1300-000001000000}" name="Item"/>
    <tableColumn id="2" xr3:uid="{00000000-0010-0000-1300-000002000000}" name="Rubrica"/>
    <tableColumn id="3" xr3:uid="{00000000-0010-0000-1300-000003000000}" name="Base de Cálculo"/>
    <tableColumn id="4" xr3:uid="{00000000-0010-0000-1300-000004000000}" name="Memória de Cálculo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0000000-000C-0000-FFFF-FFFF14000000}" name="Table8423872" displayName="Table8423872" ref="A99:D102" totalsRowShown="0">
  <autoFilter ref="A99:D102" xr:uid="{00000000-0009-0000-0100-000029000000}"/>
  <tableColumns count="4">
    <tableColumn id="1" xr3:uid="{00000000-0010-0000-1400-000001000000}" name="Item"/>
    <tableColumn id="2" xr3:uid="{00000000-0010-0000-1400-000002000000}" name="Rubrica"/>
    <tableColumn id="3" xr3:uid="{00000000-0010-0000-1400-000003000000}" name="Base de Cálculo"/>
    <tableColumn id="4" xr3:uid="{00000000-0010-0000-1400-000004000000}" name="Memória de Cálculo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00000000-000C-0000-FFFF-FFFF15000000}" name="Table84270" displayName="Table84270" ref="A57:D59" totalsRowShown="0">
  <autoFilter ref="A57:D59" xr:uid="{00000000-0009-0000-0100-00002B000000}"/>
  <tableColumns count="4">
    <tableColumn id="1" xr3:uid="{00000000-0010-0000-1500-000001000000}" name="Item"/>
    <tableColumn id="2" xr3:uid="{00000000-0010-0000-1500-000002000000}" name="Rubrica"/>
    <tableColumn id="3" xr3:uid="{00000000-0010-0000-1500-000003000000}" name="Base de Cálculo"/>
    <tableColumn id="4" xr3:uid="{00000000-0010-0000-1500-000004000000}" name="Memória de Cálculo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00000000-000C-0000-FFFF-FFFF16000000}" name="Table868" displayName="Table868" ref="A27:D29" totalsRowShown="0">
  <autoFilter ref="A27:D29" xr:uid="{00000000-0009-0000-0100-00002D000000}"/>
  <tableColumns count="4">
    <tableColumn id="1" xr3:uid="{00000000-0010-0000-1600-000001000000}" name="Item"/>
    <tableColumn id="2" xr3:uid="{00000000-0010-0000-1600-000002000000}" name="Rubrica"/>
    <tableColumn id="3" xr3:uid="{00000000-0010-0000-1600-000003000000}" name="Base de Cálculo"/>
    <tableColumn id="4" xr3:uid="{00000000-0010-0000-1600-000004000000}" name="Memória de Cálculo"/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17000000}" name="CITL3393" displayName="CITL3393" ref="F15:G20" totalsRowShown="0">
  <autoFilter ref="F15:G20" xr:uid="{00000000-0009-0000-0100-000002000000}"/>
  <tableColumns count="2">
    <tableColumn id="1" xr3:uid="{00000000-0010-0000-1700-000001000000}" name="Descrição"/>
    <tableColumn id="2" xr3:uid="{00000000-0010-0000-1700-000002000000}" name="Percentual"/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18000000}" name="DadosDesligamento3292" displayName="DadosDesligamento3292" ref="F9:G12" totalsRowShown="0">
  <autoFilter ref="F9:G12" xr:uid="{00000000-0009-0000-0100-000004000000}"/>
  <tableColumns count="2">
    <tableColumn id="1" xr3:uid="{00000000-0010-0000-1800-000001000000}" name="Tipos"/>
    <tableColumn id="2" xr3:uid="{00000000-0010-0000-1800-000002000000}" name="Percentual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19000000}" name="DadosGerais3191" displayName="DadosGerais3191" ref="F2:G6" totalsRowShown="0">
  <autoFilter ref="F2:G6" xr:uid="{00000000-0009-0000-0100-000006000000}"/>
  <tableColumns count="2">
    <tableColumn id="1" xr3:uid="{00000000-0010-0000-1900-000001000000}" name="Descrição"/>
    <tableColumn id="2" xr3:uid="{00000000-0010-0000-1900-000002000000}" name="Valor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1A000000}" name="Módulo1379" displayName="Módulo1379" ref="A10:D17">
  <tableColumns count="4">
    <tableColumn id="1" xr3:uid="{00000000-0010-0000-1A00-000001000000}" name="1" totalsRowLabel="Total"/>
    <tableColumn id="2" xr3:uid="{00000000-0010-0000-1A00-000002000000}" name="Composição da Remuneração"/>
    <tableColumn id="3" xr3:uid="{00000000-0010-0000-1A00-000003000000}" name="Comentário"/>
    <tableColumn id="4" xr3:uid="{00000000-0010-0000-1A00-000004000000}" name="Valor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1B000000}" name="Módulo32484" displayName="Módulo32484" ref="A69:D76">
  <tableColumns count="4">
    <tableColumn id="1" xr3:uid="{00000000-0010-0000-1B00-000001000000}" name="3" totalsRowLabel="Total"/>
    <tableColumn id="2" xr3:uid="{00000000-0010-0000-1B00-000002000000}" name="Provisão para Rescisão"/>
    <tableColumn id="3" xr3:uid="{00000000-0010-0000-1B00-000003000000}" name="Comentário"/>
    <tableColumn id="4" xr3:uid="{00000000-0010-0000-1B00-000004000000}" name="Valor"/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1C000000}" name="Módulo52888" displayName="Módulo52888" ref="A116:D121">
  <tableColumns count="4">
    <tableColumn id="1" xr3:uid="{00000000-0010-0000-1C00-000001000000}" name="5" totalsRowLabel="Total"/>
    <tableColumn id="2" xr3:uid="{00000000-0010-0000-1C00-000002000000}" name="Insumos Diversos"/>
    <tableColumn id="3" xr3:uid="{00000000-0010-0000-1C00-000003000000}" name="Comentário"/>
    <tableColumn id="4" xr3:uid="{00000000-0010-0000-1C00-000004000000}" name="Valor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DadosGerais31" displayName="DadosGerais31" ref="F2:G6" totalsRowShown="0">
  <autoFilter ref="F2:G6" xr:uid="{00000000-0009-0000-0100-000005000000}"/>
  <tableColumns count="2">
    <tableColumn id="1" xr3:uid="{00000000-0010-0000-0200-000001000000}" name="Descrição"/>
    <tableColumn id="2" xr3:uid="{00000000-0010-0000-0200-000002000000}" name="Valor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1D000000}" name="Módulo62989" displayName="Módulo62989" ref="A131:D138">
  <tableColumns count="4">
    <tableColumn id="1" xr3:uid="{00000000-0010-0000-1D00-000001000000}" name="6" totalsRowLabel="Total"/>
    <tableColumn id="2" xr3:uid="{00000000-0010-0000-1D00-000002000000}" name="Custos Indiretos, Tributos e Lucro"/>
    <tableColumn id="3" xr3:uid="{00000000-0010-0000-1D00-000003000000}" name="Percentual"/>
    <tableColumn id="4" xr3:uid="{00000000-0010-0000-1D00-000004000000}" name="Valor"/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1E000000}" name="ResumoMódulo2983" displayName="ResumoMódulo2983" ref="A62:D66">
  <tableColumns count="4">
    <tableColumn id="1" xr3:uid="{00000000-0010-0000-1E00-000001000000}" name="2" totalsRowLabel="Total"/>
    <tableColumn id="2" xr3:uid="{00000000-0010-0000-1E00-000002000000}" name="Encargos e Benefícios Anuais, Mensais e Diários"/>
    <tableColumn id="3" xr3:uid="{00000000-0010-0000-1E00-000003000000}" name="Comentário"/>
    <tableColumn id="4" xr3:uid="{00000000-0010-0000-1E00-000004000000}" name="Valor"/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F000000}" name="ResumoMódulo42787" displayName="ResumoMódulo42787" ref="A110:D113">
  <tableColumns count="4">
    <tableColumn id="1" xr3:uid="{00000000-0010-0000-1F00-000001000000}" name="4" totalsRowLabel="Total"/>
    <tableColumn id="2" xr3:uid="{00000000-0010-0000-1F00-000002000000}" name="Custo de Reposição do Profissional Ausente"/>
    <tableColumn id="3" xr3:uid="{00000000-0010-0000-1F00-000003000000}" name="Comentário"/>
    <tableColumn id="4" xr3:uid="{00000000-0010-0000-1F00-000004000000}" name="Valor"/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20000000}" name="ResumoPosto3090" displayName="ResumoPosto3090" ref="A142:D150" totalsRowShown="0">
  <autoFilter ref="A142:D150" xr:uid="{00000000-0009-0000-0100-000014000000}"/>
  <tableColumns count="4">
    <tableColumn id="1" xr3:uid="{00000000-0010-0000-2000-000001000000}" name="Item"/>
    <tableColumn id="2" xr3:uid="{00000000-0010-0000-2000-000002000000}" name="Mão de obra vinculada à execução contratual"/>
    <tableColumn id="3" xr3:uid="{00000000-0010-0000-2000-000003000000}" name="-"/>
    <tableColumn id="4" xr3:uid="{00000000-0010-0000-2000-000004000000}" name="Valor"/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21000000}" name="Submódulo2.1480" displayName="Submódulo2.1480" ref="A21:D24">
  <tableColumns count="4">
    <tableColumn id="1" xr3:uid="{00000000-0010-0000-2100-000001000000}" name="2.1" totalsRowLabel="Total"/>
    <tableColumn id="2" xr3:uid="{00000000-0010-0000-2100-000002000000}" name="13º (décimo terceiro) Salário e Adicional de Férias"/>
    <tableColumn id="3" xr3:uid="{00000000-0010-0000-2100-000003000000}" name="Comentário"/>
    <tableColumn id="4" xr3:uid="{00000000-0010-0000-2100-000004000000}" name="Valor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22000000}" name="Submódulo2.2681" displayName="Submódulo2.2681" ref="A32:D41">
  <tableColumns count="4">
    <tableColumn id="1" xr3:uid="{00000000-0010-0000-2200-000001000000}" name="2.2" totalsRowLabel="Total"/>
    <tableColumn id="2" xr3:uid="{00000000-0010-0000-2200-000002000000}" name="GPS, FGTS e outras contribuições"/>
    <tableColumn id="3" xr3:uid="{00000000-0010-0000-2200-000003000000}" name="Percentual"/>
    <tableColumn id="4" xr3:uid="{00000000-0010-0000-2200-000004000000}" name="Valor 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23000000}" name="Submódulo2.3882" displayName="Submódulo2.3882" ref="A48:D54">
  <tableColumns count="4">
    <tableColumn id="1" xr3:uid="{00000000-0010-0000-2300-000001000000}" name="2.3" totalsRowLabel="Total"/>
    <tableColumn id="2" xr3:uid="{00000000-0010-0000-2300-000002000000}" name="Benefícios Mensais e Diários"/>
    <tableColumn id="3" xr3:uid="{00000000-0010-0000-2300-000003000000}" name="Comentário"/>
    <tableColumn id="4" xr3:uid="{00000000-0010-0000-2300-000004000000}" name="Valor"/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24000000}" name="Submódulo4.12585" displayName="Submódulo4.12585" ref="A89:D96">
  <tableColumns count="4">
    <tableColumn id="1" xr3:uid="{00000000-0010-0000-2400-000001000000}" name="4.1" totalsRowLabel="Total"/>
    <tableColumn id="2" xr3:uid="{00000000-0010-0000-2400-000002000000}" name="Substituto nas Ausências Legais"/>
    <tableColumn id="3" xr3:uid="{00000000-0010-0000-2400-000003000000}" name="Dias de ausência"/>
    <tableColumn id="4" xr3:uid="{00000000-0010-0000-2400-000004000000}" name="Valor"/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25000000}" name="Submódulo4.22686" displayName="Submódulo4.22686" ref="A105:D107">
  <tableColumns count="4">
    <tableColumn id="1" xr3:uid="{00000000-0010-0000-2500-000001000000}" name="4.2" totalsRowLabel="Total"/>
    <tableColumn id="2" xr3:uid="{00000000-0010-0000-2500-000002000000}" name="Substituto na Intrajornada "/>
    <tableColumn id="3" xr3:uid="{00000000-0010-0000-2500-000003000000}" name="Comentário"/>
    <tableColumn id="4" xr3:uid="{00000000-0010-0000-2500-000004000000}" name="Valor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26000000}" name="Tabela6100" displayName="Tabela6100" ref="F23:G25" totalsRowShown="0">
  <autoFilter ref="F23:G25" xr:uid="{00000000-0009-0000-0100-000020000000}"/>
  <tableColumns count="2">
    <tableColumn id="1" xr3:uid="{00000000-0010-0000-2600-000001000000}" name="Descrição"/>
    <tableColumn id="2" xr3:uid="{00000000-0010-0000-2600-000002000000}" name="Valor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Módulo13" displayName="Módulo13" ref="A10:D17">
  <tableColumns count="4">
    <tableColumn id="1" xr3:uid="{00000000-0010-0000-0300-000001000000}" name="1" totalsRowLabel="Total"/>
    <tableColumn id="2" xr3:uid="{00000000-0010-0000-0300-000002000000}" name="Composição da Remuneração"/>
    <tableColumn id="3" xr3:uid="{00000000-0010-0000-0300-000003000000}" name="Comentário"/>
    <tableColumn id="4" xr3:uid="{00000000-0010-0000-0300-000004000000}" name="Valor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27000000}" name="Table425278" displayName="Table425278" ref="A2:D7" totalsRowShown="0">
  <tableColumns count="4">
    <tableColumn id="1" xr3:uid="{00000000-0010-0000-2700-000001000000}" name="Item"/>
    <tableColumn id="2" xr3:uid="{00000000-0010-0000-2700-000002000000}" name="Descrição"/>
    <tableColumn id="3" xr3:uid="{00000000-0010-0000-2700-000003000000}" name="Comentário"/>
    <tableColumn id="4" xr3:uid="{00000000-0010-0000-2700-000004000000}" name="Valor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28000000}" name="Table8396995" displayName="Table8396995" ref="A44:D45" totalsRowShown="0">
  <autoFilter ref="A44:D45" xr:uid="{00000000-0009-0000-0100-000024000000}"/>
  <tableColumns count="4">
    <tableColumn id="1" xr3:uid="{00000000-0010-0000-2800-000001000000}" name="Item"/>
    <tableColumn id="2" xr3:uid="{00000000-0010-0000-2800-000002000000}" name="Rubrica"/>
    <tableColumn id="3" xr3:uid="{00000000-0010-0000-2800-000003000000}" name="Base de Cálculo"/>
    <tableColumn id="4" xr3:uid="{00000000-0010-0000-2800-000004000000}" name="Memória de Cálculo"/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29000000}" name="Table842377197" displayName="Table842377197" ref="A79:D85" totalsRowShown="0">
  <autoFilter ref="A79:D85" xr:uid="{00000000-0009-0000-0100-000026000000}"/>
  <tableColumns count="4">
    <tableColumn id="1" xr3:uid="{00000000-0010-0000-2900-000001000000}" name="Item"/>
    <tableColumn id="2" xr3:uid="{00000000-0010-0000-2900-000002000000}" name="Rubrica"/>
    <tableColumn id="3" xr3:uid="{00000000-0010-0000-2900-000003000000}" name="Base de Cálculo"/>
    <tableColumn id="4" xr3:uid="{00000000-0010-0000-2900-000004000000}" name="Memória de Cálculo"/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0000000-000C-0000-FFFF-FFFF2A000000}" name="Table84238517399" displayName="Table84238517399" ref="A124:D128" totalsRowShown="0">
  <autoFilter ref="A124:D128" xr:uid="{00000000-0009-0000-0100-000028000000}"/>
  <tableColumns count="4">
    <tableColumn id="1" xr3:uid="{00000000-0010-0000-2A00-000001000000}" name="Item"/>
    <tableColumn id="2" xr3:uid="{00000000-0010-0000-2A00-000002000000}" name="Rubrica"/>
    <tableColumn id="3" xr3:uid="{00000000-0010-0000-2A00-000003000000}" name="Base de Cálculo"/>
    <tableColumn id="4" xr3:uid="{00000000-0010-0000-2A00-000004000000}" name="Memória de Cálculo"/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00000000-000C-0000-FFFF-FFFF2B000000}" name="Table842387298" displayName="Table842387298" ref="A99:D102" totalsRowShown="0">
  <autoFilter ref="A99:D102" xr:uid="{00000000-0009-0000-0100-00002A000000}"/>
  <tableColumns count="4">
    <tableColumn id="1" xr3:uid="{00000000-0010-0000-2B00-000001000000}" name="Item"/>
    <tableColumn id="2" xr3:uid="{00000000-0010-0000-2B00-000002000000}" name="Rubrica"/>
    <tableColumn id="3" xr3:uid="{00000000-0010-0000-2B00-000003000000}" name="Base de Cálculo"/>
    <tableColumn id="4" xr3:uid="{00000000-0010-0000-2B00-000004000000}" name="Memória de Cálculo"/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00000000-000C-0000-FFFF-FFFF2C000000}" name="Table8427096" displayName="Table8427096" ref="A57:D59" totalsRowShown="0">
  <autoFilter ref="A57:D59" xr:uid="{00000000-0009-0000-0100-00002C000000}"/>
  <tableColumns count="4">
    <tableColumn id="1" xr3:uid="{00000000-0010-0000-2C00-000001000000}" name="Item"/>
    <tableColumn id="2" xr3:uid="{00000000-0010-0000-2C00-000002000000}" name="Rubrica"/>
    <tableColumn id="3" xr3:uid="{00000000-0010-0000-2C00-000003000000}" name="Base de Cálculo"/>
    <tableColumn id="4" xr3:uid="{00000000-0010-0000-2C00-000004000000}" name="Memória de Cálculo"/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00000000-000C-0000-FFFF-FFFF2D000000}" name="Table86894" displayName="Table86894" ref="A27:D29" totalsRowShown="0">
  <autoFilter ref="A27:D29" xr:uid="{00000000-0009-0000-0100-00002E000000}"/>
  <tableColumns count="4">
    <tableColumn id="1" xr3:uid="{00000000-0010-0000-2D00-000001000000}" name="Item"/>
    <tableColumn id="2" xr3:uid="{00000000-0010-0000-2D00-000002000000}" name="Rubrica"/>
    <tableColumn id="3" xr3:uid="{00000000-0010-0000-2D00-000003000000}" name="Base de Cálculo"/>
    <tableColumn id="4" xr3:uid="{00000000-0010-0000-2D00-000004000000}" name="Memória de Cálculo"/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6EA23564-CB2D-4953-A17B-7812960BC289}" name="Table46" displayName="Table46" ref="A2:F28" headerRowDxfId="8" dataDxfId="7" totalsRowDxfId="6">
  <tableColumns count="6">
    <tableColumn id="1" xr3:uid="{C67B869E-85A7-408B-8BEB-7BEC620B476E}" name="ITEM" totalsRowLabel="46" dataDxfId="5"/>
    <tableColumn id="2" xr3:uid="{6E041F83-664A-450B-91F5-BE79D46B97B3}" name="DESCRIÇÃO" totalsRowLabel="Refil para saboneteira em ABS ALTO IMPACTO para Álcool Gel ou Sabonete Líquido em Sachê ou Refil 5-J7AI" dataDxfId="4"/>
    <tableColumn id="3" xr3:uid="{E70D9447-B78E-4E55-8DD9-96AC63056C96}" name="UNIDADE" dataDxfId="3"/>
    <tableColumn id="4" xr3:uid="{C6D3EAD5-0990-43E7-9FFC-EFE63F8255B3}" name="  VALOR UNITÁRIO ESTIMADO (R$) " dataDxfId="2"/>
    <tableColumn id="5" xr3:uid="{571F8A8D-21D3-4B88-9C26-4A03083260A5}" name="QUANTIDADE" dataDxfId="1"/>
    <tableColumn id="6" xr3:uid="{AA7FA961-0FB1-409D-B356-EC1ABEE776E5}" name="VALOR TOTAL  (R$)" dataDxfId="0"/>
  </tableColumns>
  <tableStyleInfo name="TableStyleMedium1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4000000}" name="Módulo324" displayName="Módulo324" ref="A69:D76">
  <tableColumns count="4">
    <tableColumn id="1" xr3:uid="{00000000-0010-0000-0400-000001000000}" name="3" totalsRowLabel="Total"/>
    <tableColumn id="2" xr3:uid="{00000000-0010-0000-0400-000002000000}" name="Provisão para Rescisão"/>
    <tableColumn id="3" xr3:uid="{00000000-0010-0000-0400-000003000000}" name="Comentário"/>
    <tableColumn id="4" xr3:uid="{00000000-0010-0000-0400-000004000000}" name="Valor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5000000}" name="Módulo528" displayName="Módulo528" ref="A116:D121">
  <tableColumns count="4">
    <tableColumn id="1" xr3:uid="{00000000-0010-0000-0500-000001000000}" name="5" totalsRowLabel="Total"/>
    <tableColumn id="2" xr3:uid="{00000000-0010-0000-0500-000002000000}" name="Insumos Diversos"/>
    <tableColumn id="3" xr3:uid="{00000000-0010-0000-0500-000003000000}" name="Comentário"/>
    <tableColumn id="4" xr3:uid="{00000000-0010-0000-0500-000004000000}" name="Valor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6000000}" name="Módulo629" displayName="Módulo629" ref="A131:D138">
  <tableColumns count="4">
    <tableColumn id="1" xr3:uid="{00000000-0010-0000-0600-000001000000}" name="6" totalsRowLabel="Total"/>
    <tableColumn id="2" xr3:uid="{00000000-0010-0000-0600-000002000000}" name="Custos Indiretos, Tributos e Lucro"/>
    <tableColumn id="3" xr3:uid="{00000000-0010-0000-0600-000003000000}" name="Percentual"/>
    <tableColumn id="4" xr3:uid="{00000000-0010-0000-0600-000004000000}" name="Valor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7000000}" name="ResumoMódulo29" displayName="ResumoMódulo29" ref="A62:D66">
  <tableColumns count="4">
    <tableColumn id="1" xr3:uid="{00000000-0010-0000-0700-000001000000}" name="2" totalsRowLabel="Total"/>
    <tableColumn id="2" xr3:uid="{00000000-0010-0000-0700-000002000000}" name="Encargos e Benefícios Anuais, Mensais e Diários"/>
    <tableColumn id="3" xr3:uid="{00000000-0010-0000-0700-000003000000}" name="Comentário"/>
    <tableColumn id="4" xr3:uid="{00000000-0010-0000-0700-000004000000}" name="Valor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8000000}" name="ResumoMódulo427" displayName="ResumoMódulo427" ref="A110:D113">
  <tableColumns count="4">
    <tableColumn id="1" xr3:uid="{00000000-0010-0000-0800-000001000000}" name="4" totalsRowLabel="Total"/>
    <tableColumn id="2" xr3:uid="{00000000-0010-0000-0800-000002000000}" name="Custo de Reposição do Profissional Ausente"/>
    <tableColumn id="3" xr3:uid="{00000000-0010-0000-0800-000003000000}" name="Comentário"/>
    <tableColumn id="4" xr3:uid="{00000000-0010-0000-0800-000004000000}" name="Valor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comments" Target="../comments1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1" Type="http://schemas.openxmlformats.org/officeDocument/2006/relationships/vmlDrawing" Target="../drawings/vmlDrawing1.vml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7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0.xml"/><Relationship Id="rId13" Type="http://schemas.openxmlformats.org/officeDocument/2006/relationships/table" Target="../tables/table35.xml"/><Relationship Id="rId18" Type="http://schemas.openxmlformats.org/officeDocument/2006/relationships/table" Target="../tables/table40.xml"/><Relationship Id="rId3" Type="http://schemas.openxmlformats.org/officeDocument/2006/relationships/table" Target="../tables/table25.xml"/><Relationship Id="rId21" Type="http://schemas.openxmlformats.org/officeDocument/2006/relationships/table" Target="../tables/table43.xml"/><Relationship Id="rId7" Type="http://schemas.openxmlformats.org/officeDocument/2006/relationships/table" Target="../tables/table29.xml"/><Relationship Id="rId12" Type="http://schemas.openxmlformats.org/officeDocument/2006/relationships/table" Target="../tables/table34.xml"/><Relationship Id="rId17" Type="http://schemas.openxmlformats.org/officeDocument/2006/relationships/table" Target="../tables/table39.xml"/><Relationship Id="rId25" Type="http://schemas.openxmlformats.org/officeDocument/2006/relationships/comments" Target="../comments2.xml"/><Relationship Id="rId2" Type="http://schemas.openxmlformats.org/officeDocument/2006/relationships/table" Target="../tables/table24.xml"/><Relationship Id="rId16" Type="http://schemas.openxmlformats.org/officeDocument/2006/relationships/table" Target="../tables/table38.xml"/><Relationship Id="rId20" Type="http://schemas.openxmlformats.org/officeDocument/2006/relationships/table" Target="../tables/table42.xml"/><Relationship Id="rId1" Type="http://schemas.openxmlformats.org/officeDocument/2006/relationships/vmlDrawing" Target="../drawings/vmlDrawing2.vml"/><Relationship Id="rId6" Type="http://schemas.openxmlformats.org/officeDocument/2006/relationships/table" Target="../tables/table28.xml"/><Relationship Id="rId11" Type="http://schemas.openxmlformats.org/officeDocument/2006/relationships/table" Target="../tables/table33.xml"/><Relationship Id="rId24" Type="http://schemas.openxmlformats.org/officeDocument/2006/relationships/table" Target="../tables/table46.xml"/><Relationship Id="rId5" Type="http://schemas.openxmlformats.org/officeDocument/2006/relationships/table" Target="../tables/table27.xml"/><Relationship Id="rId15" Type="http://schemas.openxmlformats.org/officeDocument/2006/relationships/table" Target="../tables/table37.xml"/><Relationship Id="rId23" Type="http://schemas.openxmlformats.org/officeDocument/2006/relationships/table" Target="../tables/table45.xml"/><Relationship Id="rId10" Type="http://schemas.openxmlformats.org/officeDocument/2006/relationships/table" Target="../tables/table32.xml"/><Relationship Id="rId19" Type="http://schemas.openxmlformats.org/officeDocument/2006/relationships/table" Target="../tables/table41.xml"/><Relationship Id="rId4" Type="http://schemas.openxmlformats.org/officeDocument/2006/relationships/table" Target="../tables/table26.xml"/><Relationship Id="rId9" Type="http://schemas.openxmlformats.org/officeDocument/2006/relationships/table" Target="../tables/table31.xml"/><Relationship Id="rId14" Type="http://schemas.openxmlformats.org/officeDocument/2006/relationships/table" Target="../tables/table36.xml"/><Relationship Id="rId22" Type="http://schemas.openxmlformats.org/officeDocument/2006/relationships/table" Target="../tables/table4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0"/>
  <sheetViews>
    <sheetView showGridLines="0" topLeftCell="A125" zoomScale="140" zoomScaleNormal="140" workbookViewId="0">
      <selection activeCell="D150" sqref="D150"/>
    </sheetView>
  </sheetViews>
  <sheetFormatPr defaultColWidth="9" defaultRowHeight="15" outlineLevelRow="1" x14ac:dyDescent="0.25"/>
  <cols>
    <col min="1" max="1" width="12.42578125" customWidth="1"/>
    <col min="2" max="2" width="76.42578125" customWidth="1"/>
    <col min="3" max="3" width="28.42578125" customWidth="1"/>
    <col min="4" max="4" width="27.42578125" customWidth="1"/>
    <col min="6" max="6" width="32.7109375" customWidth="1"/>
    <col min="7" max="7" width="13" customWidth="1"/>
  </cols>
  <sheetData>
    <row r="1" spans="1:7" x14ac:dyDescent="0.25">
      <c r="A1" s="283" t="s">
        <v>0</v>
      </c>
      <c r="B1" s="283"/>
      <c r="C1" s="283"/>
      <c r="D1" s="283"/>
      <c r="F1" s="284" t="s">
        <v>1</v>
      </c>
      <c r="G1" s="284"/>
    </row>
    <row r="2" spans="1:7" x14ac:dyDescent="0.25">
      <c r="A2" s="2" t="s">
        <v>2</v>
      </c>
      <c r="B2" t="s">
        <v>3</v>
      </c>
      <c r="C2" s="2" t="s">
        <v>4</v>
      </c>
      <c r="D2" s="2" t="s">
        <v>5</v>
      </c>
      <c r="F2" t="s">
        <v>3</v>
      </c>
      <c r="G2" t="s">
        <v>5</v>
      </c>
    </row>
    <row r="3" spans="1:7" x14ac:dyDescent="0.25">
      <c r="A3" s="2">
        <v>1</v>
      </c>
      <c r="B3" t="s">
        <v>6</v>
      </c>
      <c r="C3" s="2"/>
      <c r="D3" s="2" t="s">
        <v>7</v>
      </c>
      <c r="F3" t="s">
        <v>8</v>
      </c>
      <c r="G3" s="3">
        <v>3.8</v>
      </c>
    </row>
    <row r="4" spans="1:7" x14ac:dyDescent="0.25">
      <c r="A4" s="2">
        <v>2</v>
      </c>
      <c r="B4" t="s">
        <v>9</v>
      </c>
      <c r="C4" s="2"/>
      <c r="D4" s="2" t="s">
        <v>10</v>
      </c>
      <c r="F4" t="s">
        <v>11</v>
      </c>
      <c r="G4" s="3">
        <v>14</v>
      </c>
    </row>
    <row r="5" spans="1:7" x14ac:dyDescent="0.25">
      <c r="A5" s="2">
        <v>3</v>
      </c>
      <c r="B5" t="s">
        <v>12</v>
      </c>
      <c r="C5" s="2" t="s">
        <v>13</v>
      </c>
      <c r="D5" s="4">
        <v>1002.88</v>
      </c>
      <c r="F5" t="s">
        <v>14</v>
      </c>
      <c r="G5" s="5">
        <v>22</v>
      </c>
    </row>
    <row r="6" spans="1:7" x14ac:dyDescent="0.25">
      <c r="A6" s="2">
        <v>4</v>
      </c>
      <c r="B6" t="s">
        <v>15</v>
      </c>
      <c r="C6" s="2" t="s">
        <v>16</v>
      </c>
      <c r="D6" s="2" t="s">
        <v>17</v>
      </c>
      <c r="F6" t="s">
        <v>18</v>
      </c>
      <c r="G6" s="6">
        <v>0.03</v>
      </c>
    </row>
    <row r="7" spans="1:7" x14ac:dyDescent="0.25">
      <c r="A7" s="2">
        <v>5</v>
      </c>
      <c r="B7" t="s">
        <v>19</v>
      </c>
      <c r="C7" s="2"/>
      <c r="D7" s="2" t="s">
        <v>20</v>
      </c>
    </row>
    <row r="8" spans="1:7" x14ac:dyDescent="0.25">
      <c r="F8" s="284" t="s">
        <v>21</v>
      </c>
      <c r="G8" s="284"/>
    </row>
    <row r="9" spans="1:7" x14ac:dyDescent="0.25">
      <c r="A9" s="285" t="s">
        <v>22</v>
      </c>
      <c r="B9" s="285"/>
      <c r="C9" s="285"/>
      <c r="D9" s="285"/>
      <c r="F9" t="s">
        <v>23</v>
      </c>
      <c r="G9" t="s">
        <v>24</v>
      </c>
    </row>
    <row r="10" spans="1:7" x14ac:dyDescent="0.25">
      <c r="A10" s="2" t="s">
        <v>25</v>
      </c>
      <c r="B10" t="s">
        <v>26</v>
      </c>
      <c r="C10" s="2" t="s">
        <v>4</v>
      </c>
      <c r="D10" s="2" t="s">
        <v>5</v>
      </c>
      <c r="F10" t="s">
        <v>27</v>
      </c>
      <c r="G10" s="7">
        <v>0.43369999999999997</v>
      </c>
    </row>
    <row r="11" spans="1:7" x14ac:dyDescent="0.25">
      <c r="A11" s="2" t="s">
        <v>28</v>
      </c>
      <c r="B11" t="s">
        <v>29</v>
      </c>
      <c r="C11" s="2"/>
      <c r="D11" s="8">
        <f>Salário_Normativo_da_Categoria_Profissional</f>
        <v>1002.88</v>
      </c>
      <c r="F11" t="s">
        <v>30</v>
      </c>
      <c r="G11" s="7">
        <v>0.43369999999999997</v>
      </c>
    </row>
    <row r="12" spans="1:7" x14ac:dyDescent="0.25">
      <c r="A12" s="2" t="s">
        <v>31</v>
      </c>
      <c r="B12" t="s">
        <v>32</v>
      </c>
      <c r="C12" s="2"/>
      <c r="D12" s="8"/>
      <c r="F12" t="s">
        <v>33</v>
      </c>
      <c r="G12" s="7">
        <v>2.18E-2</v>
      </c>
    </row>
    <row r="13" spans="1:7" x14ac:dyDescent="0.25">
      <c r="A13" s="2" t="s">
        <v>34</v>
      </c>
      <c r="B13" t="s">
        <v>35</v>
      </c>
      <c r="C13" s="2"/>
      <c r="D13" s="8"/>
    </row>
    <row r="14" spans="1:7" x14ac:dyDescent="0.25">
      <c r="A14" s="2" t="s">
        <v>36</v>
      </c>
      <c r="B14" t="s">
        <v>37</v>
      </c>
      <c r="C14" s="2"/>
      <c r="D14" s="8"/>
      <c r="F14" s="284" t="s">
        <v>38</v>
      </c>
      <c r="G14" s="284"/>
    </row>
    <row r="15" spans="1:7" x14ac:dyDescent="0.25">
      <c r="A15" s="2" t="s">
        <v>39</v>
      </c>
      <c r="B15" t="s">
        <v>40</v>
      </c>
      <c r="C15" s="2"/>
      <c r="D15" s="8"/>
      <c r="F15" t="s">
        <v>3</v>
      </c>
      <c r="G15" t="s">
        <v>24</v>
      </c>
    </row>
    <row r="16" spans="1:7" x14ac:dyDescent="0.25">
      <c r="A16" s="2" t="s">
        <v>41</v>
      </c>
      <c r="B16" t="s">
        <v>42</v>
      </c>
      <c r="C16" s="2"/>
      <c r="D16" s="8"/>
      <c r="F16" t="s">
        <v>43</v>
      </c>
      <c r="G16" s="9">
        <v>0.03</v>
      </c>
    </row>
    <row r="17" spans="1:7" x14ac:dyDescent="0.25">
      <c r="A17" s="2" t="s">
        <v>44</v>
      </c>
      <c r="C17" s="2"/>
      <c r="D17" s="8">
        <f>SUBTOTAL(109,D11:D16)</f>
        <v>1002.88</v>
      </c>
      <c r="F17" t="s">
        <v>45</v>
      </c>
      <c r="G17" s="9">
        <v>6.7900000000000002E-2</v>
      </c>
    </row>
    <row r="18" spans="1:7" x14ac:dyDescent="0.25">
      <c r="F18" t="s">
        <v>46</v>
      </c>
      <c r="G18" s="10">
        <v>1.6500000000000001E-2</v>
      </c>
    </row>
    <row r="19" spans="1:7" x14ac:dyDescent="0.25">
      <c r="A19" s="286" t="s">
        <v>47</v>
      </c>
      <c r="B19" s="286"/>
      <c r="C19" s="286"/>
      <c r="D19" s="286"/>
      <c r="F19" t="s">
        <v>48</v>
      </c>
      <c r="G19" s="10">
        <v>7.5999999999999998E-2</v>
      </c>
    </row>
    <row r="20" spans="1:7" x14ac:dyDescent="0.25">
      <c r="A20" s="284" t="s">
        <v>49</v>
      </c>
      <c r="B20" s="284"/>
      <c r="C20" s="284"/>
      <c r="D20" s="284"/>
      <c r="F20" t="s">
        <v>50</v>
      </c>
      <c r="G20" s="10">
        <v>0.05</v>
      </c>
    </row>
    <row r="21" spans="1:7" x14ac:dyDescent="0.25">
      <c r="A21" s="2" t="s">
        <v>51</v>
      </c>
      <c r="B21" t="s">
        <v>52</v>
      </c>
      <c r="C21" s="2" t="s">
        <v>4</v>
      </c>
      <c r="D21" s="2" t="s">
        <v>5</v>
      </c>
    </row>
    <row r="22" spans="1:7" x14ac:dyDescent="0.25">
      <c r="A22" s="2" t="s">
        <v>28</v>
      </c>
      <c r="B22" t="s">
        <v>53</v>
      </c>
      <c r="D22" s="8">
        <f>Servente!$D$17/12</f>
        <v>83.573333333333338</v>
      </c>
      <c r="F22" s="284" t="s">
        <v>54</v>
      </c>
      <c r="G22" s="284"/>
    </row>
    <row r="23" spans="1:7" x14ac:dyDescent="0.25">
      <c r="A23" s="2" t="s">
        <v>31</v>
      </c>
      <c r="B23" t="s">
        <v>55</v>
      </c>
      <c r="D23" s="8">
        <f>(Servente!$D$17/12)*(1/3)</f>
        <v>27.857777777777777</v>
      </c>
      <c r="E23" s="11"/>
      <c r="F23" s="2" t="s">
        <v>3</v>
      </c>
      <c r="G23" s="2" t="s">
        <v>5</v>
      </c>
    </row>
    <row r="24" spans="1:7" x14ac:dyDescent="0.25">
      <c r="A24" s="2" t="s">
        <v>44</v>
      </c>
      <c r="D24" s="8">
        <f>SUBTOTAL(109,D22:D23)</f>
        <v>111.43111111111111</v>
      </c>
      <c r="F24" t="s">
        <v>56</v>
      </c>
      <c r="G24" s="12">
        <f>((D17+D24+(D17/12))*(100%+C41))/30</f>
        <v>54.62353066666666</v>
      </c>
    </row>
    <row r="25" spans="1:7" x14ac:dyDescent="0.25">
      <c r="A25" s="2"/>
      <c r="D25" s="8"/>
      <c r="F25" t="s">
        <v>57</v>
      </c>
      <c r="G25" s="12">
        <f>((D17*(1+(1/3))*(100%+C41))/12)/30</f>
        <v>5.0812586666666659</v>
      </c>
    </row>
    <row r="26" spans="1:7" x14ac:dyDescent="0.25">
      <c r="A26" s="287" t="s">
        <v>58</v>
      </c>
      <c r="B26" s="287"/>
      <c r="C26" s="287"/>
      <c r="D26" s="287"/>
    </row>
    <row r="27" spans="1:7" x14ac:dyDescent="0.25">
      <c r="A27" s="1" t="s">
        <v>2</v>
      </c>
      <c r="B27" s="1" t="s">
        <v>59</v>
      </c>
      <c r="C27" s="1" t="s">
        <v>60</v>
      </c>
      <c r="D27" s="13" t="s">
        <v>61</v>
      </c>
    </row>
    <row r="28" spans="1:7" ht="30" x14ac:dyDescent="0.25">
      <c r="A28" s="14" t="s">
        <v>28</v>
      </c>
      <c r="B28" s="15" t="s">
        <v>62</v>
      </c>
      <c r="C28" s="16" t="s">
        <v>63</v>
      </c>
      <c r="D28" s="15" t="s">
        <v>64</v>
      </c>
    </row>
    <row r="29" spans="1:7" x14ac:dyDescent="0.25">
      <c r="A29" s="14" t="s">
        <v>31</v>
      </c>
      <c r="B29" s="17" t="s">
        <v>55</v>
      </c>
      <c r="C29" s="16" t="s">
        <v>63</v>
      </c>
      <c r="D29" s="15" t="s">
        <v>65</v>
      </c>
    </row>
    <row r="30" spans="1:7" x14ac:dyDescent="0.25">
      <c r="A30" s="2"/>
      <c r="B30" s="2"/>
      <c r="C30" s="18"/>
    </row>
    <row r="31" spans="1:7" x14ac:dyDescent="0.25">
      <c r="A31" s="284" t="s">
        <v>66</v>
      </c>
      <c r="B31" s="284"/>
      <c r="C31" s="284"/>
      <c r="D31" s="284"/>
    </row>
    <row r="32" spans="1:7" x14ac:dyDescent="0.25">
      <c r="A32" s="2" t="s">
        <v>67</v>
      </c>
      <c r="B32" t="s">
        <v>68</v>
      </c>
      <c r="C32" s="2" t="s">
        <v>24</v>
      </c>
      <c r="D32" s="2" t="s">
        <v>69</v>
      </c>
    </row>
    <row r="33" spans="1:4" x14ac:dyDescent="0.25">
      <c r="A33" s="2" t="s">
        <v>28</v>
      </c>
      <c r="B33" t="s">
        <v>70</v>
      </c>
      <c r="C33" s="19">
        <v>0.2</v>
      </c>
      <c r="D33" s="8">
        <f>C33*(Servente!$D$17+Servente!$D$24)</f>
        <v>222.86222222222224</v>
      </c>
    </row>
    <row r="34" spans="1:4" x14ac:dyDescent="0.25">
      <c r="A34" s="2" t="s">
        <v>31</v>
      </c>
      <c r="B34" t="s">
        <v>71</v>
      </c>
      <c r="C34" s="19">
        <v>2.5000000000000001E-2</v>
      </c>
      <c r="D34" s="8">
        <f>C34*(Servente!$D$17+Servente!$D$24)</f>
        <v>27.85777777777778</v>
      </c>
    </row>
    <row r="35" spans="1:4" x14ac:dyDescent="0.25">
      <c r="A35" s="2" t="s">
        <v>34</v>
      </c>
      <c r="B35" t="s">
        <v>72</v>
      </c>
      <c r="C35" s="19">
        <f>Servente!G6</f>
        <v>0.03</v>
      </c>
      <c r="D35" s="8">
        <f>C35*(Servente!$D$17+Servente!$D$24)</f>
        <v>33.429333333333332</v>
      </c>
    </row>
    <row r="36" spans="1:4" x14ac:dyDescent="0.25">
      <c r="A36" s="2" t="s">
        <v>36</v>
      </c>
      <c r="B36" t="s">
        <v>73</v>
      </c>
      <c r="C36" s="19">
        <v>1.4999999999999999E-2</v>
      </c>
      <c r="D36" s="8">
        <f>C36*(Servente!$D$17+Servente!$D$24)</f>
        <v>16.714666666666666</v>
      </c>
    </row>
    <row r="37" spans="1:4" x14ac:dyDescent="0.25">
      <c r="A37" s="2" t="s">
        <v>39</v>
      </c>
      <c r="B37" t="s">
        <v>74</v>
      </c>
      <c r="C37" s="19">
        <v>0.01</v>
      </c>
      <c r="D37" s="8">
        <f>C37*(Servente!$D$17+Servente!$D$24)</f>
        <v>11.143111111111111</v>
      </c>
    </row>
    <row r="38" spans="1:4" x14ac:dyDescent="0.25">
      <c r="A38" s="2" t="s">
        <v>41</v>
      </c>
      <c r="B38" t="s">
        <v>75</v>
      </c>
      <c r="C38" s="19">
        <v>6.0000000000000001E-3</v>
      </c>
      <c r="D38" s="8">
        <f>C38*(Servente!$D$17+Servente!$D$24)</f>
        <v>6.6858666666666666</v>
      </c>
    </row>
    <row r="39" spans="1:4" x14ac:dyDescent="0.25">
      <c r="A39" s="2" t="s">
        <v>76</v>
      </c>
      <c r="B39" t="s">
        <v>77</v>
      </c>
      <c r="C39" s="19">
        <v>2E-3</v>
      </c>
      <c r="D39" s="8">
        <f>C39*(Servente!$D$17+Servente!$D$24)</f>
        <v>2.2286222222222225</v>
      </c>
    </row>
    <row r="40" spans="1:4" x14ac:dyDescent="0.25">
      <c r="A40" s="2" t="s">
        <v>78</v>
      </c>
      <c r="B40" t="s">
        <v>79</v>
      </c>
      <c r="C40" s="19">
        <v>0.08</v>
      </c>
      <c r="D40" s="8">
        <f>C40*(Servente!$D$17+Servente!$D$24)</f>
        <v>89.144888888888886</v>
      </c>
    </row>
    <row r="41" spans="1:4" x14ac:dyDescent="0.25">
      <c r="A41" s="2" t="s">
        <v>44</v>
      </c>
      <c r="C41" s="20">
        <v>0.36799999999999999</v>
      </c>
      <c r="D41" s="8">
        <f>SUBTOTAL(109,D33:D40)</f>
        <v>410.0664888888889</v>
      </c>
    </row>
    <row r="42" spans="1:4" x14ac:dyDescent="0.25">
      <c r="A42" s="2"/>
      <c r="C42" s="20"/>
      <c r="D42" s="8"/>
    </row>
    <row r="43" spans="1:4" x14ac:dyDescent="0.25">
      <c r="A43" s="287" t="s">
        <v>80</v>
      </c>
      <c r="B43" s="287"/>
      <c r="C43" s="287"/>
      <c r="D43" s="287"/>
    </row>
    <row r="44" spans="1:4" x14ac:dyDescent="0.25">
      <c r="A44" s="1" t="s">
        <v>2</v>
      </c>
      <c r="B44" s="1" t="s">
        <v>59</v>
      </c>
      <c r="C44" s="1" t="s">
        <v>60</v>
      </c>
      <c r="D44" s="13" t="s">
        <v>61</v>
      </c>
    </row>
    <row r="45" spans="1:4" ht="30" x14ac:dyDescent="0.25">
      <c r="A45" s="14" t="s">
        <v>81</v>
      </c>
      <c r="B45" s="15" t="s">
        <v>68</v>
      </c>
      <c r="C45" s="15" t="s">
        <v>82</v>
      </c>
      <c r="D45" s="15" t="s">
        <v>83</v>
      </c>
    </row>
    <row r="47" spans="1:4" x14ac:dyDescent="0.25">
      <c r="A47" s="284" t="s">
        <v>84</v>
      </c>
      <c r="B47" s="284"/>
      <c r="C47" s="284"/>
      <c r="D47" s="284"/>
    </row>
    <row r="48" spans="1:4" x14ac:dyDescent="0.25">
      <c r="A48" s="2" t="s">
        <v>85</v>
      </c>
      <c r="B48" t="s">
        <v>86</v>
      </c>
      <c r="C48" s="2" t="s">
        <v>4</v>
      </c>
      <c r="D48" s="2" t="s">
        <v>5</v>
      </c>
    </row>
    <row r="49" spans="1:4" x14ac:dyDescent="0.25">
      <c r="A49" s="2" t="s">
        <v>28</v>
      </c>
      <c r="B49" t="s">
        <v>87</v>
      </c>
      <c r="D49" s="8">
        <v>107.02719999999999</v>
      </c>
    </row>
    <row r="50" spans="1:4" x14ac:dyDescent="0.25">
      <c r="A50" s="2" t="s">
        <v>31</v>
      </c>
      <c r="B50" t="s">
        <v>88</v>
      </c>
      <c r="D50" s="8">
        <f>(Servente!G4*Servente!G5)*80%</f>
        <v>246.4</v>
      </c>
    </row>
    <row r="51" spans="1:4" x14ac:dyDescent="0.25">
      <c r="A51" s="2" t="s">
        <v>34</v>
      </c>
      <c r="B51" t="s">
        <v>89</v>
      </c>
      <c r="D51" s="8"/>
    </row>
    <row r="52" spans="1:4" x14ac:dyDescent="0.25">
      <c r="A52" s="2" t="s">
        <v>36</v>
      </c>
      <c r="B52" t="s">
        <v>90</v>
      </c>
      <c r="C52" t="s">
        <v>91</v>
      </c>
      <c r="D52" s="8">
        <v>4</v>
      </c>
    </row>
    <row r="53" spans="1:4" x14ac:dyDescent="0.25">
      <c r="A53" s="2" t="s">
        <v>39</v>
      </c>
      <c r="B53" t="s">
        <v>92</v>
      </c>
      <c r="C53" t="s">
        <v>93</v>
      </c>
      <c r="D53" s="8">
        <v>15</v>
      </c>
    </row>
    <row r="54" spans="1:4" x14ac:dyDescent="0.25">
      <c r="A54" s="2" t="s">
        <v>44</v>
      </c>
      <c r="D54" s="8">
        <v>372.42720000000003</v>
      </c>
    </row>
    <row r="55" spans="1:4" x14ac:dyDescent="0.25">
      <c r="A55" s="2"/>
      <c r="D55" s="8"/>
    </row>
    <row r="56" spans="1:4" x14ac:dyDescent="0.25">
      <c r="A56" s="287" t="s">
        <v>94</v>
      </c>
      <c r="B56" s="287"/>
      <c r="C56" s="287"/>
      <c r="D56" s="287"/>
    </row>
    <row r="57" spans="1:4" x14ac:dyDescent="0.25">
      <c r="A57" s="1" t="s">
        <v>2</v>
      </c>
      <c r="B57" s="1" t="s">
        <v>59</v>
      </c>
      <c r="C57" s="1" t="s">
        <v>60</v>
      </c>
      <c r="D57" s="1" t="s">
        <v>61</v>
      </c>
    </row>
    <row r="58" spans="1:4" ht="45" x14ac:dyDescent="0.25">
      <c r="A58" s="14" t="s">
        <v>28</v>
      </c>
      <c r="B58" s="15" t="s">
        <v>87</v>
      </c>
      <c r="C58" s="16" t="s">
        <v>95</v>
      </c>
      <c r="D58" s="16" t="s">
        <v>96</v>
      </c>
    </row>
    <row r="59" spans="1:4" ht="30" x14ac:dyDescent="0.25">
      <c r="A59" s="14" t="s">
        <v>31</v>
      </c>
      <c r="B59" s="17" t="s">
        <v>88</v>
      </c>
      <c r="C59" s="16" t="s">
        <v>95</v>
      </c>
      <c r="D59" s="16" t="s">
        <v>97</v>
      </c>
    </row>
    <row r="60" spans="1:4" ht="19.5" customHeight="1" x14ac:dyDescent="0.25">
      <c r="A60" s="2"/>
      <c r="D60" s="8"/>
    </row>
    <row r="61" spans="1:4" x14ac:dyDescent="0.25">
      <c r="A61" s="284" t="s">
        <v>98</v>
      </c>
      <c r="B61" s="284"/>
      <c r="C61" s="284"/>
      <c r="D61" s="284"/>
    </row>
    <row r="62" spans="1:4" x14ac:dyDescent="0.25">
      <c r="A62" s="2" t="s">
        <v>99</v>
      </c>
      <c r="B62" t="s">
        <v>100</v>
      </c>
      <c r="C62" s="2" t="s">
        <v>4</v>
      </c>
      <c r="D62" s="2" t="s">
        <v>5</v>
      </c>
    </row>
    <row r="63" spans="1:4" x14ac:dyDescent="0.25">
      <c r="A63" s="2" t="s">
        <v>51</v>
      </c>
      <c r="B63" t="s">
        <v>52</v>
      </c>
      <c r="C63" s="2"/>
      <c r="D63" s="8">
        <f>Servente!$D$24</f>
        <v>111.43111111111111</v>
      </c>
    </row>
    <row r="64" spans="1:4" x14ac:dyDescent="0.25">
      <c r="A64" s="2" t="s">
        <v>67</v>
      </c>
      <c r="B64" t="s">
        <v>68</v>
      </c>
      <c r="C64" s="2"/>
      <c r="D64" s="8">
        <f>Servente!$D$41</f>
        <v>410.0664888888889</v>
      </c>
    </row>
    <row r="65" spans="1:4" x14ac:dyDescent="0.25">
      <c r="A65" s="2" t="s">
        <v>85</v>
      </c>
      <c r="B65" t="s">
        <v>86</v>
      </c>
      <c r="C65" s="2"/>
      <c r="D65" s="8">
        <f>Servente!$D$54</f>
        <v>372.42720000000003</v>
      </c>
    </row>
    <row r="66" spans="1:4" x14ac:dyDescent="0.25">
      <c r="A66" s="2" t="s">
        <v>44</v>
      </c>
      <c r="C66" s="2"/>
      <c r="D66" s="8">
        <f>SUBTOTAL(109,D63:D65)</f>
        <v>893.9248</v>
      </c>
    </row>
    <row r="68" spans="1:4" x14ac:dyDescent="0.25">
      <c r="A68" s="285" t="s">
        <v>101</v>
      </c>
      <c r="B68" s="285"/>
      <c r="C68" s="285"/>
      <c r="D68" s="285"/>
    </row>
    <row r="69" spans="1:4" x14ac:dyDescent="0.25">
      <c r="A69" s="2" t="s">
        <v>102</v>
      </c>
      <c r="B69" t="s">
        <v>103</v>
      </c>
      <c r="C69" s="2" t="s">
        <v>4</v>
      </c>
      <c r="D69" s="2" t="s">
        <v>5</v>
      </c>
    </row>
    <row r="70" spans="1:4" x14ac:dyDescent="0.25">
      <c r="A70" s="2" t="s">
        <v>28</v>
      </c>
      <c r="B70" t="s">
        <v>104</v>
      </c>
      <c r="D70" s="8">
        <f>((Servente!$D$17+D63+D65)/12)*G10</f>
        <v>53.73320046074074</v>
      </c>
    </row>
    <row r="71" spans="1:4" x14ac:dyDescent="0.25">
      <c r="A71" s="2" t="s">
        <v>31</v>
      </c>
      <c r="B71" t="s">
        <v>105</v>
      </c>
      <c r="D71" s="8">
        <f>(D40/12)*Servente!G10</f>
        <v>3.2218448592592588</v>
      </c>
    </row>
    <row r="72" spans="1:4" x14ac:dyDescent="0.25">
      <c r="A72" s="2" t="s">
        <v>34</v>
      </c>
      <c r="B72" t="s">
        <v>106</v>
      </c>
      <c r="D72" s="8">
        <f>D40*50%*Servente!G10</f>
        <v>19.331069155555554</v>
      </c>
    </row>
    <row r="73" spans="1:4" x14ac:dyDescent="0.25">
      <c r="A73" s="2" t="s">
        <v>36</v>
      </c>
      <c r="B73" t="s">
        <v>107</v>
      </c>
      <c r="D73" s="8">
        <f>((Servente!$D$17+Servente!$D$66)/12)*G11</f>
        <v>68.553686813333314</v>
      </c>
    </row>
    <row r="74" spans="1:4" x14ac:dyDescent="0.25">
      <c r="A74" s="2" t="s">
        <v>39</v>
      </c>
      <c r="B74" t="s">
        <v>108</v>
      </c>
      <c r="D74" s="8">
        <f>D40*50%*Servente!G11</f>
        <v>19.331069155555554</v>
      </c>
    </row>
    <row r="75" spans="1:4" x14ac:dyDescent="0.25">
      <c r="A75" s="2" t="s">
        <v>41</v>
      </c>
      <c r="B75" t="s">
        <v>109</v>
      </c>
      <c r="D75" s="8">
        <f>-D63*Servente!G12</f>
        <v>-2.4291982222222219</v>
      </c>
    </row>
    <row r="76" spans="1:4" x14ac:dyDescent="0.25">
      <c r="A76" s="2" t="s">
        <v>44</v>
      </c>
      <c r="D76" s="8">
        <f>SUBTOTAL(109,D70:D75)</f>
        <v>161.74167222222218</v>
      </c>
    </row>
    <row r="77" spans="1:4" x14ac:dyDescent="0.25">
      <c r="A77" s="2"/>
      <c r="D77" s="8"/>
    </row>
    <row r="78" spans="1:4" x14ac:dyDescent="0.25">
      <c r="A78" s="287" t="s">
        <v>110</v>
      </c>
      <c r="B78" s="287"/>
      <c r="C78" s="287"/>
      <c r="D78" s="287"/>
    </row>
    <row r="79" spans="1:4" x14ac:dyDescent="0.25">
      <c r="A79" s="1" t="s">
        <v>2</v>
      </c>
      <c r="B79" s="1" t="s">
        <v>59</v>
      </c>
      <c r="C79" s="1" t="s">
        <v>60</v>
      </c>
      <c r="D79" s="1" t="s">
        <v>61</v>
      </c>
    </row>
    <row r="80" spans="1:4" ht="60" x14ac:dyDescent="0.25">
      <c r="A80" s="14" t="s">
        <v>28</v>
      </c>
      <c r="B80" s="15" t="s">
        <v>104</v>
      </c>
      <c r="C80" s="16" t="s">
        <v>111</v>
      </c>
      <c r="D80" s="16" t="s">
        <v>112</v>
      </c>
    </row>
    <row r="81" spans="1:5" ht="60" x14ac:dyDescent="0.25">
      <c r="A81" s="14" t="s">
        <v>31</v>
      </c>
      <c r="B81" s="17" t="s">
        <v>105</v>
      </c>
      <c r="C81" s="16" t="s">
        <v>113</v>
      </c>
      <c r="D81" s="16" t="s">
        <v>112</v>
      </c>
    </row>
    <row r="82" spans="1:5" ht="75" x14ac:dyDescent="0.25">
      <c r="A82" s="14" t="s">
        <v>34</v>
      </c>
      <c r="B82" s="17" t="s">
        <v>106</v>
      </c>
      <c r="C82" s="16" t="s">
        <v>113</v>
      </c>
      <c r="D82" s="21" t="s">
        <v>114</v>
      </c>
    </row>
    <row r="83" spans="1:5" ht="60" x14ac:dyDescent="0.25">
      <c r="A83" s="14" t="s">
        <v>36</v>
      </c>
      <c r="B83" s="22" t="s">
        <v>107</v>
      </c>
      <c r="C83" s="16" t="s">
        <v>115</v>
      </c>
      <c r="D83" s="21" t="s">
        <v>116</v>
      </c>
    </row>
    <row r="84" spans="1:5" ht="75" x14ac:dyDescent="0.25">
      <c r="A84" s="14" t="s">
        <v>39</v>
      </c>
      <c r="B84" s="22" t="s">
        <v>108</v>
      </c>
      <c r="C84" s="16" t="s">
        <v>113</v>
      </c>
      <c r="D84" s="21" t="s">
        <v>117</v>
      </c>
    </row>
    <row r="85" spans="1:5" ht="60" x14ac:dyDescent="0.25">
      <c r="A85" s="14" t="s">
        <v>41</v>
      </c>
      <c r="B85" s="22" t="s">
        <v>109</v>
      </c>
      <c r="C85" s="16" t="s">
        <v>118</v>
      </c>
      <c r="D85" s="21" t="s">
        <v>119</v>
      </c>
    </row>
    <row r="87" spans="1:5" ht="15" customHeight="1" x14ac:dyDescent="0.25">
      <c r="A87" s="288" t="s">
        <v>120</v>
      </c>
      <c r="B87" s="288"/>
      <c r="C87" s="288"/>
      <c r="D87" s="288"/>
    </row>
    <row r="88" spans="1:5" x14ac:dyDescent="0.25">
      <c r="A88" s="284" t="s">
        <v>121</v>
      </c>
      <c r="B88" s="284"/>
      <c r="C88" s="284"/>
      <c r="D88" s="284"/>
    </row>
    <row r="89" spans="1:5" x14ac:dyDescent="0.25">
      <c r="A89" s="2" t="s">
        <v>122</v>
      </c>
      <c r="B89" t="s">
        <v>123</v>
      </c>
      <c r="C89" s="2" t="s">
        <v>124</v>
      </c>
      <c r="D89" s="2" t="s">
        <v>5</v>
      </c>
    </row>
    <row r="90" spans="1:5" x14ac:dyDescent="0.25">
      <c r="A90" s="2" t="s">
        <v>28</v>
      </c>
      <c r="B90" t="s">
        <v>125</v>
      </c>
      <c r="C90" s="2">
        <v>30</v>
      </c>
      <c r="D90" s="8">
        <f>(C90*G$24)/12</f>
        <v>136.55882666666665</v>
      </c>
      <c r="E90" s="11"/>
    </row>
    <row r="91" spans="1:5" x14ac:dyDescent="0.25">
      <c r="A91" s="2" t="s">
        <v>31</v>
      </c>
      <c r="B91" t="s">
        <v>126</v>
      </c>
      <c r="C91" s="2">
        <v>1.4180999999999999</v>
      </c>
      <c r="D91" s="8">
        <f>(C91*G$24)/12</f>
        <v>6.4551357365333324</v>
      </c>
      <c r="E91" s="11"/>
    </row>
    <row r="92" spans="1:5" x14ac:dyDescent="0.25">
      <c r="A92" s="2" t="s">
        <v>34</v>
      </c>
      <c r="B92" t="s">
        <v>127</v>
      </c>
      <c r="C92" s="2">
        <v>0.1898</v>
      </c>
      <c r="D92" s="8">
        <f>(C92*G$24)/12</f>
        <v>0.86396217671111097</v>
      </c>
      <c r="E92" s="11"/>
    </row>
    <row r="93" spans="1:5" x14ac:dyDescent="0.25">
      <c r="A93" s="2" t="s">
        <v>36</v>
      </c>
      <c r="B93" t="s">
        <v>128</v>
      </c>
      <c r="C93" s="2">
        <v>0.95450000000000002</v>
      </c>
      <c r="D93" s="8">
        <f>(C93*G$24)/12</f>
        <v>4.3448466684444442</v>
      </c>
      <c r="E93" s="11"/>
    </row>
    <row r="94" spans="1:5" x14ac:dyDescent="0.25">
      <c r="A94" s="2" t="s">
        <v>39</v>
      </c>
      <c r="B94" t="s">
        <v>129</v>
      </c>
      <c r="C94" s="2">
        <v>2.4723000000000002</v>
      </c>
      <c r="D94" s="8">
        <f>(C94*G$25)/12</f>
        <v>1.0468663167999999</v>
      </c>
      <c r="E94" s="11"/>
    </row>
    <row r="95" spans="1:5" x14ac:dyDescent="0.25">
      <c r="A95" s="2" t="s">
        <v>41</v>
      </c>
      <c r="B95" t="s">
        <v>130</v>
      </c>
      <c r="C95" s="2">
        <v>3.4521000000000002</v>
      </c>
      <c r="D95" s="8">
        <f>(C95*G$24)/12</f>
        <v>15.713824184533332</v>
      </c>
      <c r="E95" s="11"/>
    </row>
    <row r="96" spans="1:5" x14ac:dyDescent="0.25">
      <c r="A96" s="2" t="s">
        <v>44</v>
      </c>
      <c r="C96" s="2">
        <f>SUBTOTAL(109,C90:C95)</f>
        <v>38.486800000000002</v>
      </c>
      <c r="D96" s="8">
        <f>SUBTOTAL(109,D90:D95)</f>
        <v>164.98346174968884</v>
      </c>
    </row>
    <row r="97" spans="1:4" x14ac:dyDescent="0.25">
      <c r="A97" s="2"/>
      <c r="C97" s="2"/>
      <c r="D97" s="8"/>
    </row>
    <row r="98" spans="1:4" x14ac:dyDescent="0.25">
      <c r="A98" s="287" t="s">
        <v>131</v>
      </c>
      <c r="B98" s="287"/>
      <c r="C98" s="287"/>
      <c r="D98" s="287"/>
    </row>
    <row r="99" spans="1:4" x14ac:dyDescent="0.25">
      <c r="A99" s="1" t="s">
        <v>2</v>
      </c>
      <c r="B99" s="1" t="s">
        <v>59</v>
      </c>
      <c r="C99" s="1" t="s">
        <v>60</v>
      </c>
      <c r="D99" s="1" t="s">
        <v>61</v>
      </c>
    </row>
    <row r="100" spans="1:4" x14ac:dyDescent="0.25">
      <c r="A100" s="14" t="s">
        <v>132</v>
      </c>
      <c r="B100" s="15" t="s">
        <v>133</v>
      </c>
      <c r="C100" s="16"/>
      <c r="D100" s="16"/>
    </row>
    <row r="101" spans="1:4" ht="60" x14ac:dyDescent="0.25">
      <c r="A101" s="14" t="s">
        <v>134</v>
      </c>
      <c r="B101" s="17" t="s">
        <v>135</v>
      </c>
      <c r="C101" s="16" t="s">
        <v>136</v>
      </c>
      <c r="D101" s="16" t="s">
        <v>137</v>
      </c>
    </row>
    <row r="102" spans="1:4" ht="60" x14ac:dyDescent="0.25">
      <c r="A102" s="14" t="s">
        <v>39</v>
      </c>
      <c r="B102" s="17" t="s">
        <v>138</v>
      </c>
      <c r="C102" s="16" t="s">
        <v>139</v>
      </c>
      <c r="D102" s="16" t="s">
        <v>137</v>
      </c>
    </row>
    <row r="103" spans="1:4" x14ac:dyDescent="0.25">
      <c r="A103" s="2"/>
      <c r="C103" s="2"/>
      <c r="D103" s="8"/>
    </row>
    <row r="104" spans="1:4" x14ac:dyDescent="0.25">
      <c r="A104" s="284" t="s">
        <v>140</v>
      </c>
      <c r="B104" s="284"/>
      <c r="C104" s="284"/>
      <c r="D104" s="284"/>
    </row>
    <row r="105" spans="1:4" x14ac:dyDescent="0.25">
      <c r="A105" s="2" t="s">
        <v>141</v>
      </c>
      <c r="B105" t="s">
        <v>142</v>
      </c>
      <c r="C105" s="2" t="s">
        <v>4</v>
      </c>
      <c r="D105" s="2" t="s">
        <v>5</v>
      </c>
    </row>
    <row r="106" spans="1:4" x14ac:dyDescent="0.25">
      <c r="A106" s="2" t="s">
        <v>28</v>
      </c>
      <c r="B106" t="s">
        <v>143</v>
      </c>
      <c r="C106" s="2"/>
      <c r="D106" s="8"/>
    </row>
    <row r="107" spans="1:4" x14ac:dyDescent="0.25">
      <c r="A107" s="2" t="s">
        <v>44</v>
      </c>
      <c r="C107" s="2"/>
      <c r="D107" s="8">
        <f>SUBTOTAL(109,D106:D106)</f>
        <v>0</v>
      </c>
    </row>
    <row r="109" spans="1:4" x14ac:dyDescent="0.25">
      <c r="A109" s="284" t="s">
        <v>144</v>
      </c>
      <c r="B109" s="284"/>
      <c r="C109" s="284"/>
      <c r="D109" s="284"/>
    </row>
    <row r="110" spans="1:4" x14ac:dyDescent="0.25">
      <c r="A110" s="2" t="s">
        <v>145</v>
      </c>
      <c r="B110" t="s">
        <v>146</v>
      </c>
      <c r="C110" s="2" t="s">
        <v>4</v>
      </c>
      <c r="D110" s="2" t="s">
        <v>5</v>
      </c>
    </row>
    <row r="111" spans="1:4" x14ac:dyDescent="0.25">
      <c r="A111" s="2" t="s">
        <v>122</v>
      </c>
      <c r="B111" t="s">
        <v>123</v>
      </c>
      <c r="D111" s="8">
        <f>Servente!$D$96</f>
        <v>164.98346174968884</v>
      </c>
    </row>
    <row r="112" spans="1:4" x14ac:dyDescent="0.25">
      <c r="A112" s="2" t="s">
        <v>141</v>
      </c>
      <c r="B112" t="s">
        <v>147</v>
      </c>
      <c r="D112" s="8">
        <f>Servente!$D$107</f>
        <v>0</v>
      </c>
    </row>
    <row r="113" spans="1:4" x14ac:dyDescent="0.25">
      <c r="A113" s="2" t="s">
        <v>44</v>
      </c>
      <c r="D113" s="8">
        <f>SUBTOTAL(109,D111:D112)</f>
        <v>164.98346174968884</v>
      </c>
    </row>
    <row r="115" spans="1:4" x14ac:dyDescent="0.25">
      <c r="A115" s="285" t="s">
        <v>148</v>
      </c>
      <c r="B115" s="285"/>
      <c r="C115" s="285"/>
      <c r="D115" s="285"/>
    </row>
    <row r="116" spans="1:4" x14ac:dyDescent="0.25">
      <c r="A116" s="2" t="s">
        <v>149</v>
      </c>
      <c r="B116" t="s">
        <v>150</v>
      </c>
      <c r="C116" s="2" t="s">
        <v>4</v>
      </c>
      <c r="D116" s="2" t="s">
        <v>5</v>
      </c>
    </row>
    <row r="117" spans="1:4" x14ac:dyDescent="0.25">
      <c r="A117" s="2" t="s">
        <v>28</v>
      </c>
      <c r="B117" t="s">
        <v>151</v>
      </c>
      <c r="D117" s="8" t="e">
        <f>#REF!</f>
        <v>#REF!</v>
      </c>
    </row>
    <row r="118" spans="1:4" x14ac:dyDescent="0.25">
      <c r="A118" s="2" t="s">
        <v>31</v>
      </c>
      <c r="B118" t="s">
        <v>152</v>
      </c>
      <c r="D118" s="8" t="e">
        <f>#REF!/#REF!</f>
        <v>#REF!</v>
      </c>
    </row>
    <row r="119" spans="1:4" x14ac:dyDescent="0.25">
      <c r="A119" s="2" t="s">
        <v>34</v>
      </c>
      <c r="B119" t="s">
        <v>153</v>
      </c>
      <c r="D119" s="8" t="e">
        <f>#REF!/#REF!</f>
        <v>#REF!</v>
      </c>
    </row>
    <row r="120" spans="1:4" x14ac:dyDescent="0.25">
      <c r="A120" s="2" t="s">
        <v>36</v>
      </c>
      <c r="B120" t="s">
        <v>154</v>
      </c>
      <c r="D120" s="8" t="e">
        <f>#REF!</f>
        <v>#REF!</v>
      </c>
    </row>
    <row r="121" spans="1:4" x14ac:dyDescent="0.25">
      <c r="A121" s="2" t="s">
        <v>44</v>
      </c>
      <c r="D121" s="8" t="e">
        <f>SUBTOTAL(109,D117:D120)</f>
        <v>#REF!</v>
      </c>
    </row>
    <row r="122" spans="1:4" x14ac:dyDescent="0.25">
      <c r="A122" s="2"/>
      <c r="D122" s="8"/>
    </row>
    <row r="123" spans="1:4" x14ac:dyDescent="0.25">
      <c r="A123" s="287" t="s">
        <v>155</v>
      </c>
      <c r="B123" s="287"/>
      <c r="C123" s="287"/>
      <c r="D123" s="287"/>
    </row>
    <row r="124" spans="1:4" x14ac:dyDescent="0.25">
      <c r="A124" s="1" t="s">
        <v>2</v>
      </c>
      <c r="B124" s="1" t="s">
        <v>59</v>
      </c>
      <c r="C124" s="1" t="s">
        <v>60</v>
      </c>
      <c r="D124" s="1" t="s">
        <v>61</v>
      </c>
    </row>
    <row r="125" spans="1:4" x14ac:dyDescent="0.25">
      <c r="A125" s="14" t="s">
        <v>28</v>
      </c>
      <c r="B125" s="15" t="s">
        <v>151</v>
      </c>
      <c r="C125" s="16" t="s">
        <v>156</v>
      </c>
      <c r="D125" s="16"/>
    </row>
    <row r="126" spans="1:4" ht="30" x14ac:dyDescent="0.25">
      <c r="A126" s="14" t="s">
        <v>31</v>
      </c>
      <c r="B126" s="17" t="s">
        <v>152</v>
      </c>
      <c r="C126" s="16" t="s">
        <v>157</v>
      </c>
      <c r="D126" s="16" t="s">
        <v>158</v>
      </c>
    </row>
    <row r="127" spans="1:4" ht="30" x14ac:dyDescent="0.25">
      <c r="A127" s="14" t="s">
        <v>34</v>
      </c>
      <c r="B127" s="17" t="s">
        <v>153</v>
      </c>
      <c r="C127" s="16" t="s">
        <v>159</v>
      </c>
      <c r="D127" s="16" t="s">
        <v>158</v>
      </c>
    </row>
    <row r="128" spans="1:4" x14ac:dyDescent="0.25">
      <c r="A128" s="14" t="s">
        <v>36</v>
      </c>
      <c r="B128" s="17" t="s">
        <v>154</v>
      </c>
      <c r="C128" s="16"/>
      <c r="D128" s="16"/>
    </row>
    <row r="130" spans="1:4" x14ac:dyDescent="0.25">
      <c r="A130" s="285" t="s">
        <v>160</v>
      </c>
      <c r="B130" s="285"/>
      <c r="C130" s="285"/>
      <c r="D130" s="285"/>
    </row>
    <row r="131" spans="1:4" outlineLevel="1" x14ac:dyDescent="0.25">
      <c r="A131" s="2" t="s">
        <v>161</v>
      </c>
      <c r="B131" t="s">
        <v>162</v>
      </c>
      <c r="C131" s="2" t="s">
        <v>24</v>
      </c>
      <c r="D131" s="2" t="s">
        <v>5</v>
      </c>
    </row>
    <row r="132" spans="1:4" outlineLevel="1" x14ac:dyDescent="0.25">
      <c r="A132" s="2" t="s">
        <v>28</v>
      </c>
      <c r="B132" t="s">
        <v>163</v>
      </c>
      <c r="C132" s="19">
        <f>G16</f>
        <v>0.03</v>
      </c>
      <c r="D132" s="8" t="e">
        <f>Servente!$C$132*(D143+D144+D145+D146+D147)</f>
        <v>#REF!</v>
      </c>
    </row>
    <row r="133" spans="1:4" outlineLevel="1" x14ac:dyDescent="0.25">
      <c r="A133" s="2" t="s">
        <v>31</v>
      </c>
      <c r="B133" t="s">
        <v>45</v>
      </c>
      <c r="C133" s="19">
        <f>G17</f>
        <v>6.7900000000000002E-2</v>
      </c>
      <c r="D133" s="8" t="e">
        <f>(SUM(D143:D147)+D132)*Servente!$C$133</f>
        <v>#REF!</v>
      </c>
    </row>
    <row r="134" spans="1:4" x14ac:dyDescent="0.25">
      <c r="A134" s="2" t="s">
        <v>34</v>
      </c>
      <c r="B134" t="s">
        <v>164</v>
      </c>
      <c r="C134" s="19">
        <f>SUM(C135:C137)</f>
        <v>0.14250000000000002</v>
      </c>
      <c r="D134" s="8" t="e">
        <f>Servente!$C$134*D150</f>
        <v>#REF!</v>
      </c>
    </row>
    <row r="135" spans="1:4" x14ac:dyDescent="0.25">
      <c r="A135" s="2" t="s">
        <v>165</v>
      </c>
      <c r="B135" t="s">
        <v>46</v>
      </c>
      <c r="C135" s="19">
        <f>G18</f>
        <v>1.6500000000000001E-2</v>
      </c>
      <c r="D135" s="8" t="e">
        <f>Servente!$C$135*D150</f>
        <v>#REF!</v>
      </c>
    </row>
    <row r="136" spans="1:4" x14ac:dyDescent="0.25">
      <c r="A136" s="2" t="s">
        <v>166</v>
      </c>
      <c r="B136" t="s">
        <v>48</v>
      </c>
      <c r="C136" s="19">
        <f>G19</f>
        <v>7.5999999999999998E-2</v>
      </c>
      <c r="D136" s="8" t="e">
        <f>Servente!$C$136*D150</f>
        <v>#REF!</v>
      </c>
    </row>
    <row r="137" spans="1:4" x14ac:dyDescent="0.25">
      <c r="A137" s="2" t="s">
        <v>167</v>
      </c>
      <c r="B137" t="s">
        <v>50</v>
      </c>
      <c r="C137" s="19">
        <f>G20</f>
        <v>0.05</v>
      </c>
      <c r="D137" s="8" t="e">
        <f>Servente!$C$137*D150</f>
        <v>#REF!</v>
      </c>
    </row>
    <row r="138" spans="1:4" x14ac:dyDescent="0.25">
      <c r="A138" s="2" t="s">
        <v>44</v>
      </c>
      <c r="C138" s="2"/>
      <c r="D138" s="8" t="e">
        <f>SUM(D132:D134)</f>
        <v>#REF!</v>
      </c>
    </row>
    <row r="139" spans="1:4" x14ac:dyDescent="0.25">
      <c r="A139" s="2"/>
      <c r="C139" s="2"/>
      <c r="D139" s="8"/>
    </row>
    <row r="141" spans="1:4" x14ac:dyDescent="0.25">
      <c r="A141" s="285" t="s">
        <v>168</v>
      </c>
      <c r="B141" s="285"/>
      <c r="C141" s="285"/>
      <c r="D141" s="285"/>
    </row>
    <row r="142" spans="1:4" x14ac:dyDescent="0.25">
      <c r="A142" s="2" t="s">
        <v>2</v>
      </c>
      <c r="B142" s="2" t="s">
        <v>169</v>
      </c>
      <c r="C142" s="2" t="s">
        <v>95</v>
      </c>
      <c r="D142" s="2" t="s">
        <v>5</v>
      </c>
    </row>
    <row r="143" spans="1:4" x14ac:dyDescent="0.25">
      <c r="A143" s="2" t="s">
        <v>28</v>
      </c>
      <c r="B143" t="s">
        <v>22</v>
      </c>
      <c r="D143" s="8">
        <f>Servente!$D$17</f>
        <v>1002.88</v>
      </c>
    </row>
    <row r="144" spans="1:4" x14ac:dyDescent="0.25">
      <c r="A144" s="2" t="s">
        <v>31</v>
      </c>
      <c r="B144" t="s">
        <v>47</v>
      </c>
      <c r="D144" s="8">
        <f>Servente!$D$66</f>
        <v>893.9248</v>
      </c>
    </row>
    <row r="145" spans="1:4" x14ac:dyDescent="0.25">
      <c r="A145" s="2" t="s">
        <v>34</v>
      </c>
      <c r="B145" t="s">
        <v>101</v>
      </c>
      <c r="D145" s="8">
        <f>Servente!$D$76</f>
        <v>161.74167222222218</v>
      </c>
    </row>
    <row r="146" spans="1:4" x14ac:dyDescent="0.25">
      <c r="A146" s="2" t="s">
        <v>36</v>
      </c>
      <c r="B146" t="s">
        <v>170</v>
      </c>
      <c r="D146" s="8">
        <f>Servente!$D$113</f>
        <v>164.98346174968884</v>
      </c>
    </row>
    <row r="147" spans="1:4" x14ac:dyDescent="0.25">
      <c r="A147" s="2" t="s">
        <v>39</v>
      </c>
      <c r="B147" t="s">
        <v>148</v>
      </c>
      <c r="D147" s="8" t="e">
        <f>Servente!$D$121</f>
        <v>#REF!</v>
      </c>
    </row>
    <row r="148" spans="1:4" x14ac:dyDescent="0.25">
      <c r="A148" t="s">
        <v>171</v>
      </c>
      <c r="D148" s="8" t="e">
        <f>SUM(D143:D147)</f>
        <v>#REF!</v>
      </c>
    </row>
    <row r="149" spans="1:4" x14ac:dyDescent="0.25">
      <c r="A149" s="2" t="s">
        <v>41</v>
      </c>
      <c r="B149" t="s">
        <v>160</v>
      </c>
      <c r="D149" s="8" t="e">
        <f>Servente!$D$138</f>
        <v>#REF!</v>
      </c>
    </row>
    <row r="150" spans="1:4" x14ac:dyDescent="0.25">
      <c r="A150" s="23" t="s">
        <v>172</v>
      </c>
      <c r="B150" s="23"/>
      <c r="C150" s="23"/>
      <c r="D150" s="24" t="e">
        <f>(SUM(D143:D147)+D132+D133)/(100%-C134)</f>
        <v>#REF!</v>
      </c>
    </row>
  </sheetData>
  <mergeCells count="25">
    <mergeCell ref="A109:D109"/>
    <mergeCell ref="A115:D115"/>
    <mergeCell ref="A123:D123"/>
    <mergeCell ref="A130:D130"/>
    <mergeCell ref="A141:D141"/>
    <mergeCell ref="A78:D78"/>
    <mergeCell ref="A87:D87"/>
    <mergeCell ref="A88:D88"/>
    <mergeCell ref="A98:D98"/>
    <mergeCell ref="A104:D104"/>
    <mergeCell ref="A43:D43"/>
    <mergeCell ref="A47:D47"/>
    <mergeCell ref="A56:D56"/>
    <mergeCell ref="A61:D61"/>
    <mergeCell ref="A68:D68"/>
    <mergeCell ref="A19:D19"/>
    <mergeCell ref="A20:D20"/>
    <mergeCell ref="F22:G22"/>
    <mergeCell ref="A26:D26"/>
    <mergeCell ref="A31:D31"/>
    <mergeCell ref="A1:D1"/>
    <mergeCell ref="F1:G1"/>
    <mergeCell ref="F8:G8"/>
    <mergeCell ref="A9:D9"/>
    <mergeCell ref="F14:G14"/>
  </mergeCells>
  <pageMargins left="0.7" right="0.7" top="0.75" bottom="0.75" header="0.511811023622047" footer="0.511811023622047"/>
  <pageSetup paperSize="9" orientation="portrait" horizontalDpi="300" verticalDpi="300"/>
  <legacyDrawing r:id="rId1"/>
  <tableParts count="23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00020-6168-42C4-9FB8-263DAE5B49DA}">
  <dimension ref="A1:H81"/>
  <sheetViews>
    <sheetView topLeftCell="A73" zoomScale="124" zoomScaleNormal="124" workbookViewId="0">
      <selection activeCell="F29" sqref="F29"/>
    </sheetView>
  </sheetViews>
  <sheetFormatPr defaultRowHeight="11.25" x14ac:dyDescent="0.2"/>
  <cols>
    <col min="1" max="1" width="5.7109375" style="50" customWidth="1"/>
    <col min="2" max="2" width="52.7109375" style="50" customWidth="1"/>
    <col min="3" max="3" width="9.140625" style="50"/>
    <col min="4" max="4" width="14.140625" style="50" bestFit="1" customWidth="1"/>
    <col min="5" max="5" width="9.28515625" style="50" bestFit="1" customWidth="1"/>
    <col min="6" max="6" width="13.140625" style="50" bestFit="1" customWidth="1"/>
    <col min="7" max="7" width="5.85546875" style="50" customWidth="1"/>
    <col min="8" max="8" width="19.5703125" style="50" customWidth="1"/>
    <col min="9" max="16384" width="9.140625" style="50"/>
  </cols>
  <sheetData>
    <row r="1" spans="1:8" x14ac:dyDescent="0.2">
      <c r="A1" s="393" t="s">
        <v>296</v>
      </c>
      <c r="B1" s="393"/>
      <c r="C1" s="393"/>
      <c r="D1" s="393"/>
      <c r="E1" s="393"/>
      <c r="F1" s="393"/>
    </row>
    <row r="2" spans="1:8" ht="34.5" thickBot="1" x14ac:dyDescent="0.25">
      <c r="A2" s="162" t="s">
        <v>175</v>
      </c>
      <c r="B2" s="162" t="s">
        <v>177</v>
      </c>
      <c r="C2" s="162" t="s">
        <v>264</v>
      </c>
      <c r="D2" s="162" t="s">
        <v>265</v>
      </c>
      <c r="E2" s="162" t="s">
        <v>266</v>
      </c>
      <c r="F2" s="162" t="s">
        <v>267</v>
      </c>
      <c r="H2" s="279" t="s">
        <v>450</v>
      </c>
    </row>
    <row r="3" spans="1:8" ht="24" customHeight="1" thickTop="1" thickBot="1" x14ac:dyDescent="0.25">
      <c r="A3" s="164">
        <v>1</v>
      </c>
      <c r="B3" s="165" t="s">
        <v>297</v>
      </c>
      <c r="C3" s="162" t="s">
        <v>298</v>
      </c>
      <c r="D3" s="166">
        <v>11.036</v>
      </c>
      <c r="E3" s="162">
        <v>5</v>
      </c>
      <c r="F3" s="167">
        <f>Table46[[#This Row],[  VALOR UNITÁRIO ESTIMADO (R$) ]]*Table46[[#This Row],[QUANTIDADE]]</f>
        <v>55.18</v>
      </c>
      <c r="H3" s="278"/>
    </row>
    <row r="4" spans="1:8" ht="19.5" customHeight="1" thickTop="1" thickBot="1" x14ac:dyDescent="0.25">
      <c r="A4" s="164">
        <v>2</v>
      </c>
      <c r="B4" s="165" t="s">
        <v>299</v>
      </c>
      <c r="C4" s="162" t="s">
        <v>300</v>
      </c>
      <c r="D4" s="166">
        <v>14.99</v>
      </c>
      <c r="E4" s="162">
        <v>10</v>
      </c>
      <c r="F4" s="167">
        <f>Table46[[#This Row],[  VALOR UNITÁRIO ESTIMADO (R$) ]]*Table46[[#This Row],[QUANTIDADE]]</f>
        <v>149.9</v>
      </c>
      <c r="H4" s="278"/>
    </row>
    <row r="5" spans="1:8" ht="80.25" thickTop="1" thickBot="1" x14ac:dyDescent="0.25">
      <c r="A5" s="164">
        <v>3</v>
      </c>
      <c r="B5" s="165" t="s">
        <v>301</v>
      </c>
      <c r="C5" s="162" t="s">
        <v>300</v>
      </c>
      <c r="D5" s="166">
        <v>72.966666700000005</v>
      </c>
      <c r="E5" s="162">
        <v>30</v>
      </c>
      <c r="F5" s="167">
        <f>Table46[[#This Row],[  VALOR UNITÁRIO ESTIMADO (R$) ]]*Table46[[#This Row],[QUANTIDADE]]</f>
        <v>2189.0000010000003</v>
      </c>
      <c r="H5" s="278"/>
    </row>
    <row r="6" spans="1:8" ht="24" thickTop="1" thickBot="1" x14ac:dyDescent="0.25">
      <c r="A6" s="164">
        <v>4</v>
      </c>
      <c r="B6" s="165" t="s">
        <v>302</v>
      </c>
      <c r="C6" s="162" t="s">
        <v>303</v>
      </c>
      <c r="D6" s="166">
        <v>13.026999999999999</v>
      </c>
      <c r="E6" s="162">
        <v>10</v>
      </c>
      <c r="F6" s="167">
        <f>Table46[[#This Row],[  VALOR UNITÁRIO ESTIMADO (R$) ]]*Table46[[#This Row],[QUANTIDADE]]</f>
        <v>130.26999999999998</v>
      </c>
      <c r="H6" s="278"/>
    </row>
    <row r="7" spans="1:8" ht="12.75" customHeight="1" thickTop="1" thickBot="1" x14ac:dyDescent="0.25">
      <c r="A7" s="164">
        <v>5</v>
      </c>
      <c r="B7" s="165" t="s">
        <v>304</v>
      </c>
      <c r="C7" s="162" t="s">
        <v>298</v>
      </c>
      <c r="D7" s="166">
        <v>3.41</v>
      </c>
      <c r="E7" s="162">
        <v>6</v>
      </c>
      <c r="F7" s="167">
        <f>Table46[[#This Row],[  VALOR UNITÁRIO ESTIMADO (R$) ]]*Table46[[#This Row],[QUANTIDADE]]</f>
        <v>20.46</v>
      </c>
      <c r="H7" s="278"/>
    </row>
    <row r="8" spans="1:8" ht="24" thickTop="1" thickBot="1" x14ac:dyDescent="0.25">
      <c r="A8" s="164">
        <v>6</v>
      </c>
      <c r="B8" s="165" t="s">
        <v>305</v>
      </c>
      <c r="C8" s="162" t="s">
        <v>300</v>
      </c>
      <c r="D8" s="166">
        <v>17.96</v>
      </c>
      <c r="E8" s="162">
        <v>18</v>
      </c>
      <c r="F8" s="167">
        <f>Table46[[#This Row],[  VALOR UNITÁRIO ESTIMADO (R$) ]]*Table46[[#This Row],[QUANTIDADE]]</f>
        <v>323.28000000000003</v>
      </c>
      <c r="H8" s="278"/>
    </row>
    <row r="9" spans="1:8" ht="24" thickTop="1" thickBot="1" x14ac:dyDescent="0.25">
      <c r="A9" s="164">
        <v>7</v>
      </c>
      <c r="B9" s="165" t="s">
        <v>306</v>
      </c>
      <c r="C9" s="162" t="s">
        <v>300</v>
      </c>
      <c r="D9" s="166">
        <v>27.155000000000001</v>
      </c>
      <c r="E9" s="162">
        <v>2</v>
      </c>
      <c r="F9" s="167">
        <f>Table46[[#This Row],[  VALOR UNITÁRIO ESTIMADO (R$) ]]*Table46[[#This Row],[QUANTIDADE]]</f>
        <v>54.31</v>
      </c>
      <c r="H9" s="278"/>
    </row>
    <row r="10" spans="1:8" ht="35.25" thickTop="1" thickBot="1" x14ac:dyDescent="0.25">
      <c r="A10" s="164">
        <v>8</v>
      </c>
      <c r="B10" s="165" t="s">
        <v>307</v>
      </c>
      <c r="C10" s="162" t="s">
        <v>308</v>
      </c>
      <c r="D10" s="166">
        <v>18.0633333</v>
      </c>
      <c r="E10" s="162">
        <v>30</v>
      </c>
      <c r="F10" s="167">
        <f>Table46[[#This Row],[  VALOR UNITÁRIO ESTIMADO (R$) ]]*Table46[[#This Row],[QUANTIDADE]]</f>
        <v>541.89999899999998</v>
      </c>
      <c r="H10" s="278"/>
    </row>
    <row r="11" spans="1:8" ht="24" thickTop="1" thickBot="1" x14ac:dyDescent="0.25">
      <c r="A11" s="164">
        <v>9</v>
      </c>
      <c r="B11" s="165" t="s">
        <v>309</v>
      </c>
      <c r="C11" s="162" t="s">
        <v>300</v>
      </c>
      <c r="D11" s="166">
        <v>32.176666699999998</v>
      </c>
      <c r="E11" s="162">
        <v>3</v>
      </c>
      <c r="F11" s="167">
        <f>Table46[[#This Row],[  VALOR UNITÁRIO ESTIMADO (R$) ]]*Table46[[#This Row],[QUANTIDADE]]</f>
        <v>96.530000099999995</v>
      </c>
      <c r="H11" s="278"/>
    </row>
    <row r="12" spans="1:8" ht="24" thickTop="1" thickBot="1" x14ac:dyDescent="0.25">
      <c r="A12" s="164">
        <v>10</v>
      </c>
      <c r="B12" s="165" t="s">
        <v>310</v>
      </c>
      <c r="C12" s="162" t="s">
        <v>441</v>
      </c>
      <c r="D12" s="166">
        <v>20.923333299999999</v>
      </c>
      <c r="E12" s="162">
        <v>30</v>
      </c>
      <c r="F12" s="167">
        <f>Table46[[#This Row],[  VALOR UNITÁRIO ESTIMADO (R$) ]]*Table46[[#This Row],[QUANTIDADE]]</f>
        <v>627.69999899999993</v>
      </c>
      <c r="H12" s="278"/>
    </row>
    <row r="13" spans="1:8" ht="12.75" customHeight="1" thickTop="1" thickBot="1" x14ac:dyDescent="0.25">
      <c r="A13" s="164">
        <v>11</v>
      </c>
      <c r="B13" s="165" t="s">
        <v>311</v>
      </c>
      <c r="C13" s="162" t="s">
        <v>303</v>
      </c>
      <c r="D13" s="166">
        <v>6.17</v>
      </c>
      <c r="E13" s="162">
        <v>5</v>
      </c>
      <c r="F13" s="167">
        <f>Table46[[#This Row],[  VALOR UNITÁRIO ESTIMADO (R$) ]]*Table46[[#This Row],[QUANTIDADE]]</f>
        <v>30.85</v>
      </c>
      <c r="H13" s="278"/>
    </row>
    <row r="14" spans="1:8" ht="12.75" customHeight="1" thickTop="1" thickBot="1" x14ac:dyDescent="0.25">
      <c r="A14" s="164">
        <v>12</v>
      </c>
      <c r="B14" s="165" t="s">
        <v>312</v>
      </c>
      <c r="C14" s="162" t="s">
        <v>303</v>
      </c>
      <c r="D14" s="166">
        <v>3.69</v>
      </c>
      <c r="E14" s="162">
        <v>10</v>
      </c>
      <c r="F14" s="167">
        <f>Table46[[#This Row],[  VALOR UNITÁRIO ESTIMADO (R$) ]]*Table46[[#This Row],[QUANTIDADE]]</f>
        <v>36.9</v>
      </c>
      <c r="H14" s="278"/>
    </row>
    <row r="15" spans="1:8" ht="12.75" customHeight="1" thickTop="1" thickBot="1" x14ac:dyDescent="0.25">
      <c r="A15" s="164">
        <v>13</v>
      </c>
      <c r="B15" s="165" t="s">
        <v>313</v>
      </c>
      <c r="C15" s="162" t="s">
        <v>303</v>
      </c>
      <c r="D15" s="166">
        <v>16.656666699999999</v>
      </c>
      <c r="E15" s="162">
        <v>6</v>
      </c>
      <c r="F15" s="167">
        <f>Table46[[#This Row],[  VALOR UNITÁRIO ESTIMADO (R$) ]]*Table46[[#This Row],[QUANTIDADE]]</f>
        <v>99.940000199999986</v>
      </c>
      <c r="H15" s="278"/>
    </row>
    <row r="16" spans="1:8" ht="12.75" customHeight="1" thickTop="1" thickBot="1" x14ac:dyDescent="0.25">
      <c r="A16" s="164">
        <v>14</v>
      </c>
      <c r="B16" s="165" t="s">
        <v>314</v>
      </c>
      <c r="C16" s="162" t="s">
        <v>308</v>
      </c>
      <c r="D16" s="166">
        <v>3.05</v>
      </c>
      <c r="E16" s="162">
        <v>3</v>
      </c>
      <c r="F16" s="167">
        <f>Table46[[#This Row],[  VALOR UNITÁRIO ESTIMADO (R$) ]]*Table46[[#This Row],[QUANTIDADE]]</f>
        <v>9.1499999999999986</v>
      </c>
      <c r="H16" s="278"/>
    </row>
    <row r="17" spans="1:8" ht="12.75" customHeight="1" thickTop="1" thickBot="1" x14ac:dyDescent="0.25">
      <c r="A17" s="164">
        <v>15</v>
      </c>
      <c r="B17" s="165" t="s">
        <v>315</v>
      </c>
      <c r="C17" s="162" t="s">
        <v>303</v>
      </c>
      <c r="D17" s="166">
        <v>8.6869999999999994</v>
      </c>
      <c r="E17" s="162">
        <v>10</v>
      </c>
      <c r="F17" s="167">
        <f>Table46[[#This Row],[  VALOR UNITÁRIO ESTIMADO (R$) ]]*Table46[[#This Row],[QUANTIDADE]]</f>
        <v>86.86999999999999</v>
      </c>
      <c r="H17" s="278"/>
    </row>
    <row r="18" spans="1:8" ht="12.75" customHeight="1" thickTop="1" thickBot="1" x14ac:dyDescent="0.25">
      <c r="A18" s="164">
        <v>16</v>
      </c>
      <c r="B18" s="165" t="s">
        <v>316</v>
      </c>
      <c r="C18" s="162" t="s">
        <v>300</v>
      </c>
      <c r="D18" s="166">
        <v>103.99</v>
      </c>
      <c r="E18" s="162">
        <v>1</v>
      </c>
      <c r="F18" s="167">
        <f>Table46[[#This Row],[  VALOR UNITÁRIO ESTIMADO (R$) ]]*Table46[[#This Row],[QUANTIDADE]]</f>
        <v>103.99</v>
      </c>
      <c r="H18" s="278"/>
    </row>
    <row r="19" spans="1:8" ht="24" thickTop="1" thickBot="1" x14ac:dyDescent="0.25">
      <c r="A19" s="164">
        <v>17</v>
      </c>
      <c r="B19" s="165" t="s">
        <v>317</v>
      </c>
      <c r="C19" s="162" t="s">
        <v>318</v>
      </c>
      <c r="D19" s="166">
        <v>9.2933333299999994</v>
      </c>
      <c r="E19" s="162">
        <v>45</v>
      </c>
      <c r="F19" s="167">
        <f>Table46[[#This Row],[  VALOR UNITÁRIO ESTIMADO (R$) ]]*Table46[[#This Row],[QUANTIDADE]]</f>
        <v>418.19999984999998</v>
      </c>
      <c r="H19" s="278"/>
    </row>
    <row r="20" spans="1:8" ht="24" thickTop="1" thickBot="1" x14ac:dyDescent="0.25">
      <c r="A20" s="164">
        <v>18</v>
      </c>
      <c r="B20" s="165" t="s">
        <v>319</v>
      </c>
      <c r="C20" s="162" t="s">
        <v>320</v>
      </c>
      <c r="D20" s="166">
        <v>16.1935</v>
      </c>
      <c r="E20" s="162">
        <v>20</v>
      </c>
      <c r="F20" s="167">
        <f>Table46[[#This Row],[  VALOR UNITÁRIO ESTIMADO (R$) ]]*Table46[[#This Row],[QUANTIDADE]]</f>
        <v>323.87</v>
      </c>
      <c r="H20" s="278"/>
    </row>
    <row r="21" spans="1:8" ht="12.75" customHeight="1" thickTop="1" thickBot="1" x14ac:dyDescent="0.25">
      <c r="A21" s="164">
        <v>19</v>
      </c>
      <c r="B21" s="165" t="s">
        <v>321</v>
      </c>
      <c r="C21" s="162" t="s">
        <v>300</v>
      </c>
      <c r="D21" s="166">
        <v>53.12</v>
      </c>
      <c r="E21" s="162">
        <v>3</v>
      </c>
      <c r="F21" s="167">
        <f>Table46[[#This Row],[  VALOR UNITÁRIO ESTIMADO (R$) ]]*Table46[[#This Row],[QUANTIDADE]]</f>
        <v>159.35999999999999</v>
      </c>
      <c r="H21" s="278"/>
    </row>
    <row r="22" spans="1:8" ht="12.75" customHeight="1" thickTop="1" thickBot="1" x14ac:dyDescent="0.25">
      <c r="A22" s="164">
        <v>20</v>
      </c>
      <c r="B22" s="165" t="s">
        <v>322</v>
      </c>
      <c r="C22" s="162" t="s">
        <v>323</v>
      </c>
      <c r="D22" s="166">
        <v>71.933000000000007</v>
      </c>
      <c r="E22" s="162">
        <v>10</v>
      </c>
      <c r="F22" s="167">
        <f>Table46[[#This Row],[  VALOR UNITÁRIO ESTIMADO (R$) ]]*Table46[[#This Row],[QUANTIDADE]]</f>
        <v>719.33</v>
      </c>
      <c r="H22" s="278"/>
    </row>
    <row r="23" spans="1:8" ht="12.75" customHeight="1" thickTop="1" thickBot="1" x14ac:dyDescent="0.25">
      <c r="A23" s="164">
        <v>21</v>
      </c>
      <c r="B23" s="165" t="s">
        <v>324</v>
      </c>
      <c r="C23" s="162" t="s">
        <v>323</v>
      </c>
      <c r="D23" s="166">
        <v>48.933</v>
      </c>
      <c r="E23" s="162">
        <v>10</v>
      </c>
      <c r="F23" s="167">
        <f>Table46[[#This Row],[  VALOR UNITÁRIO ESTIMADO (R$) ]]*Table46[[#This Row],[QUANTIDADE]]</f>
        <v>489.33</v>
      </c>
      <c r="H23" s="278"/>
    </row>
    <row r="24" spans="1:8" ht="12.75" customHeight="1" thickTop="1" thickBot="1" x14ac:dyDescent="0.25">
      <c r="A24" s="164">
        <v>22</v>
      </c>
      <c r="B24" s="165" t="s">
        <v>325</v>
      </c>
      <c r="C24" s="162" t="s">
        <v>303</v>
      </c>
      <c r="D24" s="166">
        <v>13.593500000000001</v>
      </c>
      <c r="E24" s="162">
        <v>20</v>
      </c>
      <c r="F24" s="167">
        <f>Table46[[#This Row],[  VALOR UNITÁRIO ESTIMADO (R$) ]]*Table46[[#This Row],[QUANTIDADE]]</f>
        <v>271.87</v>
      </c>
      <c r="H24" s="278"/>
    </row>
    <row r="25" spans="1:8" ht="24" thickTop="1" thickBot="1" x14ac:dyDescent="0.25">
      <c r="A25" s="164">
        <v>23</v>
      </c>
      <c r="B25" s="165" t="s">
        <v>326</v>
      </c>
      <c r="C25" s="162" t="s">
        <v>303</v>
      </c>
      <c r="D25" s="166">
        <v>25.9</v>
      </c>
      <c r="E25" s="162">
        <v>6</v>
      </c>
      <c r="F25" s="167">
        <f>Table46[[#This Row],[  VALOR UNITÁRIO ESTIMADO (R$) ]]*Table46[[#This Row],[QUANTIDADE]]</f>
        <v>155.39999999999998</v>
      </c>
      <c r="H25" s="278"/>
    </row>
    <row r="26" spans="1:8" ht="24" thickTop="1" thickBot="1" x14ac:dyDescent="0.25">
      <c r="A26" s="164">
        <v>24</v>
      </c>
      <c r="B26" s="165" t="s">
        <v>327</v>
      </c>
      <c r="C26" s="162" t="s">
        <v>273</v>
      </c>
      <c r="D26" s="166">
        <v>4.4066666699999999</v>
      </c>
      <c r="E26" s="162">
        <v>15</v>
      </c>
      <c r="F26" s="167">
        <f>Table46[[#This Row],[  VALOR UNITÁRIO ESTIMADO (R$) ]]*Table46[[#This Row],[QUANTIDADE]]</f>
        <v>66.100000050000006</v>
      </c>
      <c r="H26" s="278"/>
    </row>
    <row r="27" spans="1:8" ht="24" thickTop="1" thickBot="1" x14ac:dyDescent="0.25">
      <c r="A27" s="164">
        <v>25</v>
      </c>
      <c r="B27" s="165" t="s">
        <v>437</v>
      </c>
      <c r="C27" s="162" t="s">
        <v>298</v>
      </c>
      <c r="D27" s="166">
        <v>5.65</v>
      </c>
      <c r="E27" s="162">
        <v>3</v>
      </c>
      <c r="F27" s="267">
        <f>Table46[[#This Row],[  VALOR UNITÁRIO ESTIMADO (R$) ]]*Table46[[#This Row],[QUANTIDADE]]</f>
        <v>16.950000000000003</v>
      </c>
      <c r="H27" s="278"/>
    </row>
    <row r="28" spans="1:8" ht="12" thickTop="1" x14ac:dyDescent="0.2">
      <c r="A28" s="168" t="s">
        <v>44</v>
      </c>
      <c r="B28" s="169"/>
      <c r="C28" s="169"/>
      <c r="D28" s="169"/>
      <c r="E28" s="169"/>
      <c r="F28" s="170">
        <f>SUM(F3:F27)</f>
        <v>7176.6399991999979</v>
      </c>
    </row>
    <row r="30" spans="1:8" x14ac:dyDescent="0.2">
      <c r="A30" s="393" t="s">
        <v>328</v>
      </c>
      <c r="B30" s="393"/>
      <c r="C30" s="393"/>
      <c r="D30" s="393"/>
      <c r="E30" s="393"/>
      <c r="F30" s="393"/>
    </row>
    <row r="31" spans="1:8" ht="32.25" thickBot="1" x14ac:dyDescent="0.25">
      <c r="A31" s="172" t="s">
        <v>175</v>
      </c>
      <c r="B31" s="163" t="s">
        <v>177</v>
      </c>
      <c r="C31" s="163" t="s">
        <v>264</v>
      </c>
      <c r="D31" s="163" t="s">
        <v>265</v>
      </c>
      <c r="E31" s="163" t="s">
        <v>266</v>
      </c>
      <c r="F31" s="173" t="s">
        <v>267</v>
      </c>
      <c r="H31" s="279" t="s">
        <v>450</v>
      </c>
    </row>
    <row r="32" spans="1:8" ht="12.75" thickTop="1" thickBot="1" x14ac:dyDescent="0.25">
      <c r="A32" s="174">
        <v>26</v>
      </c>
      <c r="B32" s="175" t="s">
        <v>329</v>
      </c>
      <c r="C32" s="175" t="s">
        <v>178</v>
      </c>
      <c r="D32" s="166">
        <v>6.65</v>
      </c>
      <c r="E32" s="176">
        <v>3</v>
      </c>
      <c r="F32" s="177">
        <f>D32*E32</f>
        <v>19.950000000000003</v>
      </c>
      <c r="H32" s="280"/>
    </row>
    <row r="33" spans="1:8" ht="12.75" thickTop="1" thickBot="1" x14ac:dyDescent="0.25">
      <c r="A33" s="178">
        <v>27</v>
      </c>
      <c r="B33" s="179" t="s">
        <v>330</v>
      </c>
      <c r="C33" s="179" t="s">
        <v>178</v>
      </c>
      <c r="D33" s="166">
        <v>10.3</v>
      </c>
      <c r="E33" s="180">
        <v>3</v>
      </c>
      <c r="F33" s="223">
        <f t="shared" ref="F33:F60" si="0">D33*E33</f>
        <v>30.900000000000002</v>
      </c>
      <c r="H33" s="278"/>
    </row>
    <row r="34" spans="1:8" ht="12.75" thickTop="1" thickBot="1" x14ac:dyDescent="0.25">
      <c r="A34" s="174">
        <v>28</v>
      </c>
      <c r="B34" s="175" t="s">
        <v>331</v>
      </c>
      <c r="C34" s="175" t="s">
        <v>178</v>
      </c>
      <c r="D34" s="166">
        <v>374.9</v>
      </c>
      <c r="E34" s="176">
        <v>1</v>
      </c>
      <c r="F34" s="177">
        <f t="shared" si="0"/>
        <v>374.9</v>
      </c>
      <c r="H34" s="278"/>
    </row>
    <row r="35" spans="1:8" ht="24" thickTop="1" thickBot="1" x14ac:dyDescent="0.25">
      <c r="A35" s="178">
        <v>29</v>
      </c>
      <c r="B35" s="179" t="s">
        <v>332</v>
      </c>
      <c r="C35" s="179" t="s">
        <v>333</v>
      </c>
      <c r="D35" s="166">
        <v>38.5</v>
      </c>
      <c r="E35" s="180">
        <v>2</v>
      </c>
      <c r="F35" s="223">
        <f>D35*E35</f>
        <v>77</v>
      </c>
      <c r="H35" s="278"/>
    </row>
    <row r="36" spans="1:8" ht="12.75" thickTop="1" thickBot="1" x14ac:dyDescent="0.25">
      <c r="A36" s="174">
        <v>30</v>
      </c>
      <c r="B36" s="175" t="s">
        <v>334</v>
      </c>
      <c r="C36" s="175" t="s">
        <v>178</v>
      </c>
      <c r="D36" s="166">
        <v>24.636666699999999</v>
      </c>
      <c r="E36" s="176">
        <v>3</v>
      </c>
      <c r="F36" s="177">
        <f t="shared" si="0"/>
        <v>73.910000099999991</v>
      </c>
      <c r="H36" s="278"/>
    </row>
    <row r="37" spans="1:8" ht="12.75" thickTop="1" thickBot="1" x14ac:dyDescent="0.25">
      <c r="A37" s="178">
        <v>31</v>
      </c>
      <c r="B37" s="179" t="s">
        <v>335</v>
      </c>
      <c r="C37" s="179" t="s">
        <v>178</v>
      </c>
      <c r="D37" s="166">
        <v>33.130000000000003</v>
      </c>
      <c r="E37" s="180">
        <v>2</v>
      </c>
      <c r="F37" s="223">
        <f t="shared" si="0"/>
        <v>66.260000000000005</v>
      </c>
      <c r="H37" s="278"/>
    </row>
    <row r="38" spans="1:8" ht="12.75" thickTop="1" thickBot="1" x14ac:dyDescent="0.25">
      <c r="A38" s="174">
        <v>32</v>
      </c>
      <c r="B38" s="175" t="s">
        <v>336</v>
      </c>
      <c r="C38" s="175" t="s">
        <v>178</v>
      </c>
      <c r="D38" s="166">
        <v>142.6</v>
      </c>
      <c r="E38" s="176">
        <v>2</v>
      </c>
      <c r="F38" s="177">
        <f t="shared" si="0"/>
        <v>285.2</v>
      </c>
      <c r="H38" s="278"/>
    </row>
    <row r="39" spans="1:8" ht="35.25" thickTop="1" thickBot="1" x14ac:dyDescent="0.25">
      <c r="A39" s="178">
        <v>33</v>
      </c>
      <c r="B39" s="179" t="s">
        <v>337</v>
      </c>
      <c r="C39" s="179" t="s">
        <v>178</v>
      </c>
      <c r="D39" s="166">
        <v>251.42</v>
      </c>
      <c r="E39" s="181">
        <v>1</v>
      </c>
      <c r="F39" s="223">
        <f t="shared" si="0"/>
        <v>251.42</v>
      </c>
      <c r="H39" s="278"/>
    </row>
    <row r="40" spans="1:8" ht="12.75" thickTop="1" thickBot="1" x14ac:dyDescent="0.25">
      <c r="A40" s="174">
        <v>34</v>
      </c>
      <c r="B40" s="175" t="s">
        <v>338</v>
      </c>
      <c r="C40" s="175" t="s">
        <v>178</v>
      </c>
      <c r="D40" s="166">
        <v>15.3</v>
      </c>
      <c r="E40" s="176">
        <v>3</v>
      </c>
      <c r="F40" s="177">
        <f t="shared" si="0"/>
        <v>45.900000000000006</v>
      </c>
      <c r="H40" s="278"/>
    </row>
    <row r="41" spans="1:8" ht="12.75" thickTop="1" thickBot="1" x14ac:dyDescent="0.25">
      <c r="A41" s="178">
        <v>35</v>
      </c>
      <c r="B41" s="179" t="s">
        <v>339</v>
      </c>
      <c r="C41" s="179" t="s">
        <v>178</v>
      </c>
      <c r="D41" s="166">
        <v>17.892857100000001</v>
      </c>
      <c r="E41" s="180">
        <v>7</v>
      </c>
      <c r="F41" s="223">
        <f t="shared" si="0"/>
        <v>125.2499997</v>
      </c>
      <c r="H41" s="278"/>
    </row>
    <row r="42" spans="1:8" ht="12.75" thickTop="1" thickBot="1" x14ac:dyDescent="0.25">
      <c r="A42" s="174">
        <v>36</v>
      </c>
      <c r="B42" s="175" t="s">
        <v>340</v>
      </c>
      <c r="C42" s="175" t="s">
        <v>300</v>
      </c>
      <c r="D42" s="166">
        <v>79.075000000000003</v>
      </c>
      <c r="E42" s="176">
        <v>2</v>
      </c>
      <c r="F42" s="177">
        <f t="shared" si="0"/>
        <v>158.15</v>
      </c>
      <c r="H42" s="278"/>
    </row>
    <row r="43" spans="1:8" ht="12.75" thickTop="1" thickBot="1" x14ac:dyDescent="0.25">
      <c r="A43" s="178">
        <v>37</v>
      </c>
      <c r="B43" s="179" t="s">
        <v>341</v>
      </c>
      <c r="C43" s="179" t="s">
        <v>342</v>
      </c>
      <c r="D43" s="166">
        <v>38.963999999999999</v>
      </c>
      <c r="E43" s="180">
        <v>5</v>
      </c>
      <c r="F43" s="223">
        <f t="shared" si="0"/>
        <v>194.82</v>
      </c>
      <c r="H43" s="278"/>
    </row>
    <row r="44" spans="1:8" ht="12.75" thickTop="1" thickBot="1" x14ac:dyDescent="0.25">
      <c r="A44" s="174">
        <v>38</v>
      </c>
      <c r="B44" s="175" t="s">
        <v>343</v>
      </c>
      <c r="C44" s="175" t="s">
        <v>342</v>
      </c>
      <c r="D44" s="166">
        <v>74.7</v>
      </c>
      <c r="E44" s="176">
        <v>3</v>
      </c>
      <c r="F44" s="177">
        <f t="shared" si="0"/>
        <v>224.10000000000002</v>
      </c>
      <c r="H44" s="278"/>
    </row>
    <row r="45" spans="1:8" ht="12.75" thickTop="1" thickBot="1" x14ac:dyDescent="0.25">
      <c r="A45" s="178">
        <v>39</v>
      </c>
      <c r="B45" s="179" t="s">
        <v>344</v>
      </c>
      <c r="C45" s="179" t="s">
        <v>178</v>
      </c>
      <c r="D45" s="166">
        <v>56.89</v>
      </c>
      <c r="E45" s="180">
        <v>5</v>
      </c>
      <c r="F45" s="223">
        <f t="shared" si="0"/>
        <v>284.45</v>
      </c>
      <c r="H45" s="278"/>
    </row>
    <row r="46" spans="1:8" ht="12.75" thickTop="1" thickBot="1" x14ac:dyDescent="0.25">
      <c r="A46" s="174">
        <v>40</v>
      </c>
      <c r="B46" s="175" t="s">
        <v>345</v>
      </c>
      <c r="C46" s="175" t="s">
        <v>178</v>
      </c>
      <c r="D46" s="166">
        <v>11.696999999999999</v>
      </c>
      <c r="E46" s="176">
        <v>10</v>
      </c>
      <c r="F46" s="177">
        <f t="shared" si="0"/>
        <v>116.97</v>
      </c>
      <c r="H46" s="278"/>
    </row>
    <row r="47" spans="1:8" ht="12.75" thickTop="1" thickBot="1" x14ac:dyDescent="0.25">
      <c r="A47" s="178">
        <v>41</v>
      </c>
      <c r="B47" s="179" t="s">
        <v>346</v>
      </c>
      <c r="C47" s="179" t="s">
        <v>178</v>
      </c>
      <c r="D47" s="166">
        <v>44.95</v>
      </c>
      <c r="E47" s="180">
        <v>7</v>
      </c>
      <c r="F47" s="223">
        <f t="shared" si="0"/>
        <v>314.65000000000003</v>
      </c>
      <c r="H47" s="278"/>
    </row>
    <row r="48" spans="1:8" ht="12.75" thickTop="1" thickBot="1" x14ac:dyDescent="0.25">
      <c r="A48" s="174">
        <v>42</v>
      </c>
      <c r="B48" s="175" t="s">
        <v>347</v>
      </c>
      <c r="C48" s="175" t="s">
        <v>178</v>
      </c>
      <c r="D48" s="166">
        <v>6.8133333299999999</v>
      </c>
      <c r="E48" s="176">
        <v>6</v>
      </c>
      <c r="F48" s="177">
        <f t="shared" si="0"/>
        <v>40.879999980000001</v>
      </c>
      <c r="H48" s="278"/>
    </row>
    <row r="49" spans="1:8" ht="46.5" thickTop="1" thickBot="1" x14ac:dyDescent="0.25">
      <c r="A49" s="178">
        <v>43</v>
      </c>
      <c r="B49" s="179" t="s">
        <v>348</v>
      </c>
      <c r="C49" s="179" t="s">
        <v>178</v>
      </c>
      <c r="D49" s="166">
        <v>156.30000000000001</v>
      </c>
      <c r="E49" s="182">
        <v>1</v>
      </c>
      <c r="F49" s="223">
        <f t="shared" si="0"/>
        <v>156.30000000000001</v>
      </c>
      <c r="H49" s="278"/>
    </row>
    <row r="50" spans="1:8" ht="12.75" thickTop="1" thickBot="1" x14ac:dyDescent="0.25">
      <c r="A50" s="174">
        <v>44</v>
      </c>
      <c r="B50" s="175" t="s">
        <v>349</v>
      </c>
      <c r="C50" s="175" t="s">
        <v>350</v>
      </c>
      <c r="D50" s="166">
        <v>19.484999999999999</v>
      </c>
      <c r="E50" s="183">
        <v>2</v>
      </c>
      <c r="F50" s="177">
        <f t="shared" si="0"/>
        <v>38.97</v>
      </c>
      <c r="H50" s="278"/>
    </row>
    <row r="51" spans="1:8" ht="12.75" thickTop="1" thickBot="1" x14ac:dyDescent="0.25">
      <c r="A51" s="178">
        <v>45</v>
      </c>
      <c r="B51" s="179" t="s">
        <v>351</v>
      </c>
      <c r="C51" s="179" t="s">
        <v>273</v>
      </c>
      <c r="D51" s="166">
        <v>26.34</v>
      </c>
      <c r="E51" s="182">
        <v>2</v>
      </c>
      <c r="F51" s="223">
        <f t="shared" si="0"/>
        <v>52.68</v>
      </c>
      <c r="H51" s="278"/>
    </row>
    <row r="52" spans="1:8" ht="12.75" thickTop="1" thickBot="1" x14ac:dyDescent="0.25">
      <c r="A52" s="174">
        <v>46</v>
      </c>
      <c r="B52" s="175" t="s">
        <v>352</v>
      </c>
      <c r="C52" s="175" t="s">
        <v>178</v>
      </c>
      <c r="D52" s="166">
        <v>36.29</v>
      </c>
      <c r="E52" s="176">
        <v>10</v>
      </c>
      <c r="F52" s="177">
        <f t="shared" si="0"/>
        <v>362.9</v>
      </c>
      <c r="H52" s="278"/>
    </row>
    <row r="53" spans="1:8" ht="46.5" thickTop="1" thickBot="1" x14ac:dyDescent="0.25">
      <c r="A53" s="178">
        <v>47</v>
      </c>
      <c r="B53" s="179" t="s">
        <v>353</v>
      </c>
      <c r="C53" s="179" t="s">
        <v>178</v>
      </c>
      <c r="D53" s="166">
        <v>33.630000000000003</v>
      </c>
      <c r="E53" s="180">
        <v>15</v>
      </c>
      <c r="F53" s="223">
        <f t="shared" si="0"/>
        <v>504.45000000000005</v>
      </c>
      <c r="H53" s="278"/>
    </row>
    <row r="54" spans="1:8" ht="12.75" thickTop="1" thickBot="1" x14ac:dyDescent="0.25">
      <c r="A54" s="174">
        <v>48</v>
      </c>
      <c r="B54" s="175" t="s">
        <v>354</v>
      </c>
      <c r="C54" s="175" t="s">
        <v>178</v>
      </c>
      <c r="D54" s="166">
        <v>105.50666699999999</v>
      </c>
      <c r="E54" s="176">
        <v>12</v>
      </c>
      <c r="F54" s="177">
        <f t="shared" si="0"/>
        <v>1266.0800039999999</v>
      </c>
      <c r="H54" s="278"/>
    </row>
    <row r="55" spans="1:8" ht="24" thickTop="1" thickBot="1" x14ac:dyDescent="0.25">
      <c r="A55" s="178">
        <v>49</v>
      </c>
      <c r="B55" s="179" t="s">
        <v>355</v>
      </c>
      <c r="C55" s="179" t="s">
        <v>178</v>
      </c>
      <c r="D55" s="166">
        <v>48.232999999999997</v>
      </c>
      <c r="E55" s="180">
        <v>10</v>
      </c>
      <c r="F55" s="223">
        <f t="shared" si="0"/>
        <v>482.33</v>
      </c>
      <c r="H55" s="278"/>
    </row>
    <row r="56" spans="1:8" ht="12.75" thickTop="1" thickBot="1" x14ac:dyDescent="0.25">
      <c r="A56" s="174">
        <v>50</v>
      </c>
      <c r="B56" s="175" t="s">
        <v>356</v>
      </c>
      <c r="C56" s="175" t="s">
        <v>277</v>
      </c>
      <c r="D56" s="166">
        <v>228.18</v>
      </c>
      <c r="E56" s="176">
        <v>8</v>
      </c>
      <c r="F56" s="177">
        <f t="shared" si="0"/>
        <v>1825.44</v>
      </c>
      <c r="H56" s="278"/>
    </row>
    <row r="57" spans="1:8" ht="24" thickTop="1" thickBot="1" x14ac:dyDescent="0.25">
      <c r="A57" s="178">
        <v>51</v>
      </c>
      <c r="B57" s="179" t="s">
        <v>357</v>
      </c>
      <c r="C57" s="179" t="s">
        <v>277</v>
      </c>
      <c r="D57" s="166">
        <v>41.733333299999998</v>
      </c>
      <c r="E57" s="180">
        <v>3</v>
      </c>
      <c r="F57" s="223">
        <f t="shared" si="0"/>
        <v>125.19999989999999</v>
      </c>
      <c r="H57" s="278"/>
    </row>
    <row r="58" spans="1:8" ht="12.75" thickTop="1" thickBot="1" x14ac:dyDescent="0.25">
      <c r="A58" s="174">
        <v>52</v>
      </c>
      <c r="B58" s="175" t="s">
        <v>358</v>
      </c>
      <c r="C58" s="175" t="s">
        <v>277</v>
      </c>
      <c r="D58" s="166">
        <v>24.9</v>
      </c>
      <c r="E58" s="176">
        <v>3</v>
      </c>
      <c r="F58" s="177">
        <f t="shared" si="0"/>
        <v>74.699999999999989</v>
      </c>
      <c r="H58" s="278"/>
    </row>
    <row r="59" spans="1:8" ht="12.75" thickTop="1" thickBot="1" x14ac:dyDescent="0.25">
      <c r="A59" s="178">
        <v>53</v>
      </c>
      <c r="B59" s="179" t="s">
        <v>359</v>
      </c>
      <c r="C59" s="179" t="s">
        <v>277</v>
      </c>
      <c r="D59" s="166">
        <v>31.542999999999999</v>
      </c>
      <c r="E59" s="180">
        <v>10</v>
      </c>
      <c r="F59" s="223">
        <f t="shared" si="0"/>
        <v>315.43</v>
      </c>
      <c r="H59" s="278"/>
    </row>
    <row r="60" spans="1:8" ht="24" thickTop="1" thickBot="1" x14ac:dyDescent="0.25">
      <c r="A60" s="174">
        <v>54</v>
      </c>
      <c r="B60" s="224" t="s">
        <v>438</v>
      </c>
      <c r="C60" s="225" t="s">
        <v>439</v>
      </c>
      <c r="D60" s="166">
        <v>28.9566667</v>
      </c>
      <c r="E60" s="176">
        <v>6</v>
      </c>
      <c r="F60" s="177">
        <f t="shared" si="0"/>
        <v>173.7400002</v>
      </c>
      <c r="H60" s="278"/>
    </row>
    <row r="61" spans="1:8" ht="17.25" customHeight="1" thickTop="1" x14ac:dyDescent="0.2">
      <c r="A61" s="184" t="s">
        <v>44</v>
      </c>
      <c r="B61" s="394" t="s">
        <v>360</v>
      </c>
      <c r="C61" s="395"/>
      <c r="D61" s="395"/>
      <c r="E61" s="396"/>
      <c r="F61" s="170">
        <f>(SUM(F32:F60))/6</f>
        <v>1343.8216673133336</v>
      </c>
    </row>
    <row r="63" spans="1:8" x14ac:dyDescent="0.2">
      <c r="A63" s="393" t="s">
        <v>263</v>
      </c>
      <c r="B63" s="393"/>
      <c r="C63" s="393"/>
      <c r="D63" s="393"/>
      <c r="E63" s="393"/>
      <c r="F63" s="393"/>
    </row>
    <row r="64" spans="1:8" ht="42.75" customHeight="1" thickBot="1" x14ac:dyDescent="0.25">
      <c r="A64" s="172" t="s">
        <v>175</v>
      </c>
      <c r="B64" s="163" t="s">
        <v>177</v>
      </c>
      <c r="C64" s="163" t="s">
        <v>264</v>
      </c>
      <c r="D64" s="163" t="s">
        <v>265</v>
      </c>
      <c r="E64" s="163" t="s">
        <v>266</v>
      </c>
      <c r="F64" s="173" t="s">
        <v>267</v>
      </c>
      <c r="H64" s="279" t="s">
        <v>450</v>
      </c>
    </row>
    <row r="65" spans="1:8" ht="12.75" customHeight="1" thickTop="1" thickBot="1" x14ac:dyDescent="0.25">
      <c r="A65" s="187">
        <v>55</v>
      </c>
      <c r="B65" s="188" t="s">
        <v>361</v>
      </c>
      <c r="C65" s="187" t="s">
        <v>178</v>
      </c>
      <c r="D65" s="166">
        <v>691.78</v>
      </c>
      <c r="E65" s="187">
        <v>1</v>
      </c>
      <c r="F65" s="189">
        <f t="shared" ref="F65:F75" si="1">D65*E65</f>
        <v>691.78</v>
      </c>
      <c r="H65" s="278"/>
    </row>
    <row r="66" spans="1:8" ht="12.75" customHeight="1" thickTop="1" thickBot="1" x14ac:dyDescent="0.25">
      <c r="A66" s="185">
        <v>56</v>
      </c>
      <c r="B66" s="179" t="s">
        <v>362</v>
      </c>
      <c r="C66" s="185" t="s">
        <v>178</v>
      </c>
      <c r="D66" s="166">
        <v>216.27</v>
      </c>
      <c r="E66" s="185">
        <v>1</v>
      </c>
      <c r="F66" s="186">
        <f t="shared" si="1"/>
        <v>216.27</v>
      </c>
      <c r="H66" s="278"/>
    </row>
    <row r="67" spans="1:8" ht="91.5" thickTop="1" thickBot="1" x14ac:dyDescent="0.25">
      <c r="A67" s="187">
        <v>57</v>
      </c>
      <c r="B67" s="188" t="s">
        <v>363</v>
      </c>
      <c r="C67" s="187" t="s">
        <v>178</v>
      </c>
      <c r="D67" s="166">
        <v>542.33000000000004</v>
      </c>
      <c r="E67" s="187">
        <v>1</v>
      </c>
      <c r="F67" s="189">
        <f t="shared" si="1"/>
        <v>542.33000000000004</v>
      </c>
      <c r="H67" s="278"/>
    </row>
    <row r="68" spans="1:8" ht="12.75" customHeight="1" thickTop="1" thickBot="1" x14ac:dyDescent="0.25">
      <c r="A68" s="185">
        <v>58</v>
      </c>
      <c r="B68" s="179" t="s">
        <v>364</v>
      </c>
      <c r="C68" s="185" t="s">
        <v>178</v>
      </c>
      <c r="D68" s="166">
        <v>60.6</v>
      </c>
      <c r="E68" s="185">
        <v>1</v>
      </c>
      <c r="F68" s="186">
        <f t="shared" si="1"/>
        <v>60.6</v>
      </c>
      <c r="H68" s="278"/>
    </row>
    <row r="69" spans="1:8" ht="57.75" thickTop="1" thickBot="1" x14ac:dyDescent="0.25">
      <c r="A69" s="187">
        <v>59</v>
      </c>
      <c r="B69" s="188" t="s">
        <v>365</v>
      </c>
      <c r="C69" s="187" t="s">
        <v>178</v>
      </c>
      <c r="D69" s="166">
        <v>1924.19</v>
      </c>
      <c r="E69" s="187">
        <v>1</v>
      </c>
      <c r="F69" s="189">
        <f t="shared" si="1"/>
        <v>1924.19</v>
      </c>
      <c r="H69" s="278"/>
    </row>
    <row r="70" spans="1:8" ht="12.75" customHeight="1" thickTop="1" thickBot="1" x14ac:dyDescent="0.25">
      <c r="A70" s="185">
        <v>60</v>
      </c>
      <c r="B70" s="179" t="s">
        <v>366</v>
      </c>
      <c r="C70" s="185" t="s">
        <v>178</v>
      </c>
      <c r="D70" s="166">
        <v>39.5</v>
      </c>
      <c r="E70" s="185">
        <v>2</v>
      </c>
      <c r="F70" s="186">
        <f t="shared" si="1"/>
        <v>79</v>
      </c>
      <c r="H70" s="278"/>
    </row>
    <row r="71" spans="1:8" ht="57.75" thickTop="1" thickBot="1" x14ac:dyDescent="0.25">
      <c r="A71" s="187">
        <v>61</v>
      </c>
      <c r="B71" s="188" t="s">
        <v>367</v>
      </c>
      <c r="C71" s="187" t="s">
        <v>178</v>
      </c>
      <c r="D71" s="166">
        <v>490.02</v>
      </c>
      <c r="E71" s="187">
        <v>1</v>
      </c>
      <c r="F71" s="189">
        <f t="shared" si="1"/>
        <v>490.02</v>
      </c>
      <c r="H71" s="278"/>
    </row>
    <row r="72" spans="1:8" ht="12.75" customHeight="1" thickTop="1" thickBot="1" x14ac:dyDescent="0.25">
      <c r="A72" s="185">
        <v>62</v>
      </c>
      <c r="B72" s="179" t="s">
        <v>368</v>
      </c>
      <c r="C72" s="185" t="s">
        <v>178</v>
      </c>
      <c r="D72" s="166">
        <v>40.99</v>
      </c>
      <c r="E72" s="190">
        <v>2</v>
      </c>
      <c r="F72" s="191">
        <f t="shared" si="1"/>
        <v>81.98</v>
      </c>
      <c r="H72" s="278"/>
    </row>
    <row r="73" spans="1:8" ht="12.75" customHeight="1" thickTop="1" thickBot="1" x14ac:dyDescent="0.25">
      <c r="A73" s="187">
        <v>63</v>
      </c>
      <c r="B73" s="188" t="s">
        <v>369</v>
      </c>
      <c r="C73" s="187" t="s">
        <v>178</v>
      </c>
      <c r="D73" s="166">
        <v>46.12</v>
      </c>
      <c r="E73" s="187">
        <v>2</v>
      </c>
      <c r="F73" s="189">
        <f t="shared" si="1"/>
        <v>92.24</v>
      </c>
      <c r="H73" s="278"/>
    </row>
    <row r="74" spans="1:8" ht="12.75" customHeight="1" thickTop="1" thickBot="1" x14ac:dyDescent="0.25">
      <c r="A74" s="185">
        <v>64</v>
      </c>
      <c r="B74" s="192" t="s">
        <v>370</v>
      </c>
      <c r="C74" s="190" t="s">
        <v>178</v>
      </c>
      <c r="D74" s="166">
        <v>68.3</v>
      </c>
      <c r="E74" s="190">
        <v>1</v>
      </c>
      <c r="F74" s="191">
        <f t="shared" si="1"/>
        <v>68.3</v>
      </c>
      <c r="H74" s="278"/>
    </row>
    <row r="75" spans="1:8" ht="45.75" thickTop="1" x14ac:dyDescent="0.2">
      <c r="A75" s="187">
        <v>65</v>
      </c>
      <c r="B75" s="188" t="s">
        <v>426</v>
      </c>
      <c r="C75" s="187" t="s">
        <v>178</v>
      </c>
      <c r="D75" s="166">
        <v>1192.94</v>
      </c>
      <c r="E75" s="187">
        <v>1</v>
      </c>
      <c r="F75" s="191">
        <f t="shared" si="1"/>
        <v>1192.94</v>
      </c>
      <c r="H75" s="278"/>
    </row>
    <row r="76" spans="1:8" x14ac:dyDescent="0.2">
      <c r="A76" s="397" t="s">
        <v>44</v>
      </c>
      <c r="B76" s="398"/>
      <c r="C76" s="398"/>
      <c r="D76" s="398"/>
      <c r="E76" s="399"/>
      <c r="F76" s="193">
        <f>SUM(F65:F75)</f>
        <v>5439.65</v>
      </c>
    </row>
    <row r="77" spans="1:8" x14ac:dyDescent="0.2">
      <c r="A77" s="397" t="s">
        <v>269</v>
      </c>
      <c r="B77" s="398"/>
      <c r="C77" s="398"/>
      <c r="D77" s="398"/>
      <c r="E77" s="399"/>
      <c r="F77" s="193">
        <f>(F76*0.25%)/12</f>
        <v>1.1332604166666667</v>
      </c>
    </row>
    <row r="78" spans="1:8" x14ac:dyDescent="0.2">
      <c r="A78" s="392" t="s">
        <v>270</v>
      </c>
      <c r="B78" s="392"/>
      <c r="C78" s="392"/>
      <c r="D78" s="392"/>
      <c r="E78" s="392"/>
      <c r="F78" s="194">
        <f>(F76*10%)/12</f>
        <v>45.330416666666672</v>
      </c>
    </row>
    <row r="79" spans="1:8" x14ac:dyDescent="0.2">
      <c r="A79" s="392" t="s">
        <v>271</v>
      </c>
      <c r="B79" s="392"/>
      <c r="C79" s="392"/>
      <c r="D79" s="392"/>
      <c r="E79" s="392"/>
      <c r="F79" s="194">
        <f>SUM(F77:F78)</f>
        <v>46.463677083333337</v>
      </c>
    </row>
    <row r="80" spans="1:8" ht="12" thickBot="1" x14ac:dyDescent="0.25">
      <c r="A80" s="171"/>
    </row>
    <row r="81" spans="1:6" ht="15.75" thickTop="1" x14ac:dyDescent="0.2">
      <c r="A81" s="430" t="s">
        <v>371</v>
      </c>
      <c r="B81" s="431"/>
      <c r="C81" s="431"/>
      <c r="D81" s="431"/>
      <c r="E81" s="432"/>
      <c r="F81" s="170">
        <f>SUM(F61+F28+F79)</f>
        <v>8566.9253435966639</v>
      </c>
    </row>
  </sheetData>
  <mergeCells count="9">
    <mergeCell ref="A81:E81"/>
    <mergeCell ref="A79:E79"/>
    <mergeCell ref="A1:F1"/>
    <mergeCell ref="A30:F30"/>
    <mergeCell ref="B61:E61"/>
    <mergeCell ref="A63:F63"/>
    <mergeCell ref="A76:E76"/>
    <mergeCell ref="A77:E77"/>
    <mergeCell ref="A78:E78"/>
  </mergeCells>
  <pageMargins left="0.511811024" right="0.511811024" top="0.78740157499999996" bottom="0.78740157499999996" header="0.31496062000000002" footer="0.31496062000000002"/>
  <pageSetup orientation="landscape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0"/>
  <sheetViews>
    <sheetView zoomScale="87" zoomScaleNormal="87" workbookViewId="0">
      <selection activeCell="A2" sqref="A2:F10"/>
    </sheetView>
  </sheetViews>
  <sheetFormatPr defaultColWidth="9" defaultRowHeight="12.75" x14ac:dyDescent="0.2"/>
  <cols>
    <col min="1" max="1" width="8.7109375" style="97" customWidth="1"/>
    <col min="2" max="2" width="32.140625" style="39" customWidth="1"/>
    <col min="3" max="3" width="11" style="39" customWidth="1"/>
    <col min="4" max="4" width="18" style="39" customWidth="1"/>
    <col min="5" max="5" width="13.28515625" style="39" customWidth="1"/>
    <col min="6" max="6" width="16.42578125" style="39" customWidth="1"/>
    <col min="7" max="7" width="5" style="39" customWidth="1"/>
    <col min="8" max="8" width="24.7109375" style="39" customWidth="1"/>
    <col min="9" max="9" width="9" style="39"/>
    <col min="10" max="10" width="13.7109375" style="39" customWidth="1"/>
    <col min="11" max="16384" width="9" style="39"/>
  </cols>
  <sheetData>
    <row r="1" spans="1:10" ht="15" customHeight="1" x14ac:dyDescent="0.2">
      <c r="A1" s="39"/>
    </row>
    <row r="2" spans="1:10" ht="30" customHeight="1" x14ac:dyDescent="0.2">
      <c r="A2" s="401" t="s">
        <v>283</v>
      </c>
      <c r="B2" s="401"/>
      <c r="C2" s="401"/>
      <c r="D2" s="401"/>
      <c r="E2" s="401"/>
      <c r="F2" s="401"/>
      <c r="G2" s="226"/>
      <c r="J2" s="95"/>
    </row>
    <row r="3" spans="1:10" ht="36" customHeight="1" thickBot="1" x14ac:dyDescent="0.25">
      <c r="A3" s="268" t="s">
        <v>175</v>
      </c>
      <c r="B3" s="269" t="s">
        <v>177</v>
      </c>
      <c r="C3" s="269" t="s">
        <v>264</v>
      </c>
      <c r="D3" s="269" t="s">
        <v>265</v>
      </c>
      <c r="E3" s="269" t="s">
        <v>266</v>
      </c>
      <c r="F3" s="270" t="s">
        <v>267</v>
      </c>
      <c r="G3" s="226"/>
      <c r="H3" s="282" t="s">
        <v>450</v>
      </c>
    </row>
    <row r="4" spans="1:10" ht="46.5" customHeight="1" thickTop="1" x14ac:dyDescent="0.2">
      <c r="A4" s="271">
        <v>1</v>
      </c>
      <c r="B4" s="272" t="s">
        <v>268</v>
      </c>
      <c r="C4" s="271" t="s">
        <v>178</v>
      </c>
      <c r="D4" s="273">
        <v>232.89</v>
      </c>
      <c r="E4" s="271">
        <v>1</v>
      </c>
      <c r="F4" s="274">
        <f>D4*E4</f>
        <v>232.89</v>
      </c>
      <c r="G4" s="226"/>
      <c r="H4" s="281"/>
    </row>
    <row r="5" spans="1:10" ht="24" customHeight="1" x14ac:dyDescent="0.2">
      <c r="A5" s="400" t="s">
        <v>44</v>
      </c>
      <c r="B5" s="400"/>
      <c r="C5" s="400"/>
      <c r="D5" s="400"/>
      <c r="E5" s="400"/>
      <c r="F5" s="275">
        <f>SUM(F4:F4)</f>
        <v>232.89</v>
      </c>
      <c r="G5" s="226"/>
    </row>
    <row r="6" spans="1:10" ht="22.5" customHeight="1" x14ac:dyDescent="0.2">
      <c r="A6" s="400" t="s">
        <v>269</v>
      </c>
      <c r="B6" s="400"/>
      <c r="C6" s="400"/>
      <c r="D6" s="400"/>
      <c r="E6" s="400"/>
      <c r="F6" s="275">
        <f>(F5*0.25%)/12</f>
        <v>4.8518749999999999E-2</v>
      </c>
      <c r="G6" s="226"/>
    </row>
    <row r="7" spans="1:10" ht="23.25" customHeight="1" x14ac:dyDescent="0.2">
      <c r="A7" s="400" t="s">
        <v>270</v>
      </c>
      <c r="B7" s="400"/>
      <c r="C7" s="400"/>
      <c r="D7" s="400"/>
      <c r="E7" s="400"/>
      <c r="F7" s="276">
        <f>(F5*10%)/12</f>
        <v>1.9407500000000002</v>
      </c>
      <c r="G7" s="226"/>
    </row>
    <row r="8" spans="1:10" ht="21" customHeight="1" x14ac:dyDescent="0.2">
      <c r="A8" s="400" t="s">
        <v>271</v>
      </c>
      <c r="B8" s="400"/>
      <c r="C8" s="400"/>
      <c r="D8" s="400"/>
      <c r="E8" s="400"/>
      <c r="F8" s="276">
        <f>SUM(F6:F7)</f>
        <v>1.9892687500000001</v>
      </c>
      <c r="G8" s="226"/>
    </row>
    <row r="9" spans="1:10" ht="19.5" customHeight="1" x14ac:dyDescent="0.2">
      <c r="A9" s="400" t="s">
        <v>451</v>
      </c>
      <c r="B9" s="400"/>
      <c r="C9" s="400"/>
      <c r="D9" s="400"/>
      <c r="E9" s="400"/>
      <c r="F9" s="429">
        <v>17</v>
      </c>
    </row>
    <row r="10" spans="1:10" ht="22.5" customHeight="1" x14ac:dyDescent="0.2">
      <c r="A10" s="400" t="s">
        <v>452</v>
      </c>
      <c r="B10" s="400"/>
      <c r="C10" s="400"/>
      <c r="D10" s="400"/>
      <c r="E10" s="400"/>
      <c r="F10" s="433">
        <f>F8/17</f>
        <v>0.11701580882352942</v>
      </c>
    </row>
  </sheetData>
  <mergeCells count="7">
    <mergeCell ref="A9:E9"/>
    <mergeCell ref="A10:E10"/>
    <mergeCell ref="A8:E8"/>
    <mergeCell ref="A2:F2"/>
    <mergeCell ref="A5:E5"/>
    <mergeCell ref="A6:E6"/>
    <mergeCell ref="A7:E7"/>
  </mergeCells>
  <pageMargins left="0.7" right="0.7" top="0.75" bottom="0.75" header="0.511811023622047" footer="0.511811023622047"/>
  <pageSetup paperSize="9" scale="57" fitToHeight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1853E-44FE-4A93-9D80-338A327EEF9D}">
  <dimension ref="A1:H25"/>
  <sheetViews>
    <sheetView topLeftCell="A16" workbookViewId="0">
      <selection activeCell="K5" sqref="K5"/>
    </sheetView>
  </sheetViews>
  <sheetFormatPr defaultRowHeight="15" x14ac:dyDescent="0.25"/>
  <cols>
    <col min="1" max="1" width="21.7109375" customWidth="1"/>
    <col min="2" max="2" width="47.7109375" customWidth="1"/>
    <col min="7" max="7" width="9.85546875" customWidth="1"/>
    <col min="8" max="8" width="9.42578125" customWidth="1"/>
  </cols>
  <sheetData>
    <row r="1" spans="1:8" ht="24.75" thickBot="1" x14ac:dyDescent="0.3">
      <c r="A1" s="210" t="s">
        <v>391</v>
      </c>
      <c r="B1" s="210" t="s">
        <v>392</v>
      </c>
      <c r="C1" s="410" t="s">
        <v>393</v>
      </c>
      <c r="D1" s="411"/>
      <c r="E1" s="412"/>
      <c r="F1" s="210" t="s">
        <v>394</v>
      </c>
      <c r="G1" s="210" t="s">
        <v>395</v>
      </c>
      <c r="H1" s="210" t="s">
        <v>445</v>
      </c>
    </row>
    <row r="2" spans="1:8" ht="15.75" thickTop="1" x14ac:dyDescent="0.25">
      <c r="A2" s="413" t="s">
        <v>396</v>
      </c>
      <c r="B2" s="211" t="s">
        <v>397</v>
      </c>
      <c r="C2" s="416">
        <v>800</v>
      </c>
      <c r="D2" s="417"/>
      <c r="E2" s="418"/>
      <c r="F2" s="212" t="s">
        <v>95</v>
      </c>
      <c r="G2" s="212" t="s">
        <v>95</v>
      </c>
      <c r="H2" s="212" t="s">
        <v>95</v>
      </c>
    </row>
    <row r="3" spans="1:8" x14ac:dyDescent="0.25">
      <c r="A3" s="414"/>
      <c r="B3" s="213" t="s">
        <v>398</v>
      </c>
      <c r="C3" s="407">
        <v>800</v>
      </c>
      <c r="D3" s="408"/>
      <c r="E3" s="409"/>
      <c r="F3" s="214">
        <f>Áreas!D3</f>
        <v>1.25E-3</v>
      </c>
      <c r="G3" s="215">
        <v>1550</v>
      </c>
      <c r="H3" s="215">
        <f>G3*F3</f>
        <v>1.9375</v>
      </c>
    </row>
    <row r="4" spans="1:8" x14ac:dyDescent="0.25">
      <c r="A4" s="414"/>
      <c r="B4" s="211" t="s">
        <v>399</v>
      </c>
      <c r="C4" s="402">
        <v>360</v>
      </c>
      <c r="D4" s="403"/>
      <c r="E4" s="404"/>
      <c r="F4" s="216">
        <f>Áreas!D4</f>
        <v>2.7777777777777779E-3</v>
      </c>
      <c r="G4" s="217">
        <v>390</v>
      </c>
      <c r="H4" s="217">
        <f>G4*F4</f>
        <v>1.0833333333333335</v>
      </c>
    </row>
    <row r="5" spans="1:8" x14ac:dyDescent="0.25">
      <c r="A5" s="414"/>
      <c r="B5" s="213" t="s">
        <v>400</v>
      </c>
      <c r="C5" s="407">
        <v>1500</v>
      </c>
      <c r="D5" s="408"/>
      <c r="E5" s="409"/>
      <c r="F5" s="214" t="s">
        <v>95</v>
      </c>
      <c r="G5" s="214" t="s">
        <v>95</v>
      </c>
      <c r="H5" s="214" t="s">
        <v>95</v>
      </c>
    </row>
    <row r="6" spans="1:8" x14ac:dyDescent="0.25">
      <c r="A6" s="414"/>
      <c r="B6" s="211" t="s">
        <v>401</v>
      </c>
      <c r="C6" s="402">
        <v>1200</v>
      </c>
      <c r="D6" s="403"/>
      <c r="E6" s="404"/>
      <c r="F6" s="218" t="s">
        <v>95</v>
      </c>
      <c r="G6" s="218" t="s">
        <v>95</v>
      </c>
      <c r="H6" s="218" t="s">
        <v>95</v>
      </c>
    </row>
    <row r="7" spans="1:8" x14ac:dyDescent="0.25">
      <c r="A7" s="414"/>
      <c r="B7" s="213" t="s">
        <v>402</v>
      </c>
      <c r="C7" s="407">
        <v>1000</v>
      </c>
      <c r="D7" s="408"/>
      <c r="E7" s="409"/>
      <c r="F7" s="214">
        <f>Áreas!D5</f>
        <v>1E-3</v>
      </c>
      <c r="G7" s="215">
        <v>800</v>
      </c>
      <c r="H7" s="215">
        <f>G7*F7</f>
        <v>0.8</v>
      </c>
    </row>
    <row r="8" spans="1:8" ht="15.75" thickBot="1" x14ac:dyDescent="0.3">
      <c r="A8" s="415"/>
      <c r="B8" s="211" t="s">
        <v>403</v>
      </c>
      <c r="C8" s="402">
        <v>200</v>
      </c>
      <c r="D8" s="403"/>
      <c r="E8" s="404"/>
      <c r="F8" s="216">
        <f>Áreas!D6</f>
        <v>5.0000000000000001E-3</v>
      </c>
      <c r="G8" s="217">
        <v>250</v>
      </c>
      <c r="H8" s="217">
        <f>G8*F8</f>
        <v>1.25</v>
      </c>
    </row>
    <row r="9" spans="1:8" ht="15.75" thickTop="1" x14ac:dyDescent="0.25">
      <c r="A9" s="405" t="s">
        <v>404</v>
      </c>
      <c r="B9" s="211" t="s">
        <v>405</v>
      </c>
      <c r="C9" s="402">
        <v>1800</v>
      </c>
      <c r="D9" s="403"/>
      <c r="E9" s="404"/>
      <c r="F9" s="216" t="s">
        <v>95</v>
      </c>
      <c r="G9" s="216" t="s">
        <v>95</v>
      </c>
      <c r="H9" s="216" t="s">
        <v>95</v>
      </c>
    </row>
    <row r="10" spans="1:8" x14ac:dyDescent="0.25">
      <c r="A10" s="406"/>
      <c r="B10" s="213" t="s">
        <v>406</v>
      </c>
      <c r="C10" s="407">
        <v>6000</v>
      </c>
      <c r="D10" s="408"/>
      <c r="E10" s="409"/>
      <c r="F10" s="214">
        <f>Áreas!D7</f>
        <v>1.6666666666666666E-4</v>
      </c>
      <c r="G10" s="215">
        <v>5000</v>
      </c>
      <c r="H10" s="215">
        <f>G10*F10</f>
        <v>0.83333333333333326</v>
      </c>
    </row>
    <row r="11" spans="1:8" x14ac:dyDescent="0.25">
      <c r="A11" s="406"/>
      <c r="B11" s="211" t="s">
        <v>407</v>
      </c>
      <c r="C11" s="402">
        <v>1800</v>
      </c>
      <c r="D11" s="403"/>
      <c r="E11" s="404"/>
      <c r="F11" s="216" t="s">
        <v>95</v>
      </c>
      <c r="G11" s="216" t="s">
        <v>95</v>
      </c>
      <c r="H11" s="216" t="s">
        <v>95</v>
      </c>
    </row>
    <row r="12" spans="1:8" x14ac:dyDescent="0.25">
      <c r="A12" s="406"/>
      <c r="B12" s="213" t="s">
        <v>408</v>
      </c>
      <c r="C12" s="407">
        <v>1800</v>
      </c>
      <c r="D12" s="408"/>
      <c r="E12" s="409"/>
      <c r="F12" s="216" t="s">
        <v>95</v>
      </c>
      <c r="G12" s="216" t="s">
        <v>95</v>
      </c>
      <c r="H12" s="216" t="s">
        <v>95</v>
      </c>
    </row>
    <row r="13" spans="1:8" x14ac:dyDescent="0.25">
      <c r="A13" s="406"/>
      <c r="B13" s="211" t="s">
        <v>409</v>
      </c>
      <c r="C13" s="402">
        <v>1800</v>
      </c>
      <c r="D13" s="403"/>
      <c r="E13" s="404"/>
      <c r="F13" s="216" t="s">
        <v>95</v>
      </c>
      <c r="G13" s="216" t="s">
        <v>95</v>
      </c>
      <c r="H13" s="216" t="s">
        <v>95</v>
      </c>
    </row>
    <row r="14" spans="1:8" x14ac:dyDescent="0.25">
      <c r="A14" s="406"/>
      <c r="B14" s="213" t="s">
        <v>448</v>
      </c>
      <c r="C14" s="407">
        <v>100000</v>
      </c>
      <c r="D14" s="408"/>
      <c r="E14" s="409"/>
      <c r="F14" s="216" t="s">
        <v>95</v>
      </c>
      <c r="G14" s="216" t="s">
        <v>95</v>
      </c>
      <c r="H14" s="216" t="s">
        <v>95</v>
      </c>
    </row>
    <row r="15" spans="1:8" ht="25.5" customHeight="1" x14ac:dyDescent="0.25">
      <c r="A15" s="219" t="s">
        <v>410</v>
      </c>
      <c r="B15" s="212" t="s">
        <v>95</v>
      </c>
      <c r="C15" s="402">
        <v>360</v>
      </c>
      <c r="D15" s="403"/>
      <c r="E15" s="404"/>
      <c r="F15" s="216" t="s">
        <v>95</v>
      </c>
      <c r="G15" s="216" t="s">
        <v>95</v>
      </c>
      <c r="H15" s="216" t="s">
        <v>95</v>
      </c>
    </row>
    <row r="16" spans="1:8" ht="60.75" thickBot="1" x14ac:dyDescent="0.3">
      <c r="A16" s="210" t="s">
        <v>391</v>
      </c>
      <c r="B16" s="210" t="s">
        <v>392</v>
      </c>
      <c r="C16" s="210" t="s">
        <v>411</v>
      </c>
      <c r="D16" s="210" t="s">
        <v>412</v>
      </c>
      <c r="E16" s="210" t="s">
        <v>413</v>
      </c>
      <c r="F16" s="210" t="s">
        <v>394</v>
      </c>
      <c r="G16" s="210" t="s">
        <v>395</v>
      </c>
      <c r="H16" s="210" t="s">
        <v>446</v>
      </c>
    </row>
    <row r="17" spans="1:8" ht="15.75" thickTop="1" x14ac:dyDescent="0.25">
      <c r="A17" s="405" t="s">
        <v>414</v>
      </c>
      <c r="B17" s="213" t="s">
        <v>415</v>
      </c>
      <c r="C17" s="407">
        <v>130</v>
      </c>
      <c r="D17" s="408">
        <v>16</v>
      </c>
      <c r="E17" s="409">
        <v>188.76</v>
      </c>
      <c r="F17" s="214" t="s">
        <v>95</v>
      </c>
      <c r="G17" s="214" t="s">
        <v>95</v>
      </c>
      <c r="H17" s="214" t="s">
        <v>95</v>
      </c>
    </row>
    <row r="18" spans="1:8" x14ac:dyDescent="0.25">
      <c r="A18" s="406"/>
      <c r="B18" s="211" t="s">
        <v>416</v>
      </c>
      <c r="C18" s="402">
        <v>300</v>
      </c>
      <c r="D18" s="403">
        <v>16</v>
      </c>
      <c r="E18" s="404">
        <v>188.76</v>
      </c>
      <c r="F18" s="216">
        <f>Áreas!D8</f>
        <v>2.8254573709119167E-4</v>
      </c>
      <c r="G18" s="220">
        <v>120</v>
      </c>
      <c r="H18" s="217">
        <f>G18*F18</f>
        <v>3.3905488450943003E-2</v>
      </c>
    </row>
    <row r="19" spans="1:8" x14ac:dyDescent="0.25">
      <c r="A19" s="406"/>
      <c r="B19" s="213" t="s">
        <v>417</v>
      </c>
      <c r="C19" s="407">
        <v>300</v>
      </c>
      <c r="D19" s="408">
        <v>16</v>
      </c>
      <c r="E19" s="409">
        <v>188.76</v>
      </c>
      <c r="F19" s="214">
        <f>Áreas!D9</f>
        <v>2.8254573709119167E-4</v>
      </c>
      <c r="G19" s="222">
        <v>220</v>
      </c>
      <c r="H19" s="215">
        <f>G19*F19</f>
        <v>6.2160062160062167E-2</v>
      </c>
    </row>
    <row r="20" spans="1:8" ht="60.75" thickBot="1" x14ac:dyDescent="0.3">
      <c r="A20" s="210" t="s">
        <v>391</v>
      </c>
      <c r="B20" s="210" t="s">
        <v>392</v>
      </c>
      <c r="C20" s="210" t="s">
        <v>411</v>
      </c>
      <c r="D20" s="210" t="s">
        <v>418</v>
      </c>
      <c r="E20" s="210" t="s">
        <v>413</v>
      </c>
      <c r="F20" s="210" t="s">
        <v>394</v>
      </c>
      <c r="G20" s="210" t="s">
        <v>395</v>
      </c>
      <c r="H20" s="210" t="s">
        <v>446</v>
      </c>
    </row>
    <row r="21" spans="1:8" ht="15.75" thickTop="1" x14ac:dyDescent="0.25">
      <c r="A21" s="212" t="s">
        <v>419</v>
      </c>
      <c r="B21" s="212" t="s">
        <v>95</v>
      </c>
      <c r="C21" s="402">
        <v>130</v>
      </c>
      <c r="D21" s="403">
        <v>8</v>
      </c>
      <c r="E21" s="404">
        <v>1132.5999999999999</v>
      </c>
      <c r="F21" s="216" t="s">
        <v>95</v>
      </c>
      <c r="G21" s="212" t="s">
        <v>95</v>
      </c>
      <c r="H21" s="217" t="s">
        <v>95</v>
      </c>
    </row>
    <row r="22" spans="1:8" ht="16.5" customHeight="1" thickBot="1" x14ac:dyDescent="0.3">
      <c r="A22" s="210"/>
      <c r="B22" s="210" t="s">
        <v>447</v>
      </c>
      <c r="C22" s="210"/>
      <c r="D22" s="210"/>
      <c r="E22" s="210"/>
      <c r="F22" s="210"/>
      <c r="G22" s="210"/>
      <c r="H22" s="221">
        <f>SUM(H2:H21)</f>
        <v>6.0002322172776719</v>
      </c>
    </row>
    <row r="23" spans="1:8" ht="15.75" customHeight="1" thickTop="1" thickBot="1" x14ac:dyDescent="0.3">
      <c r="A23" s="210"/>
      <c r="B23" s="210" t="s">
        <v>420</v>
      </c>
      <c r="C23" s="210"/>
      <c r="D23" s="210"/>
      <c r="E23" s="210"/>
      <c r="F23" s="210"/>
      <c r="G23" s="210"/>
      <c r="H23" s="221">
        <v>1</v>
      </c>
    </row>
    <row r="24" spans="1:8" ht="18" customHeight="1" thickTop="1" thickBot="1" x14ac:dyDescent="0.3">
      <c r="A24" s="210"/>
      <c r="B24" s="210" t="s">
        <v>421</v>
      </c>
      <c r="C24" s="210"/>
      <c r="D24" s="210"/>
      <c r="E24" s="210"/>
      <c r="F24" s="210"/>
      <c r="G24" s="210"/>
      <c r="H24" s="221">
        <f>SUM(H22:H23)</f>
        <v>7.0002322172776719</v>
      </c>
    </row>
    <row r="25" spans="1:8" ht="15.75" thickTop="1" x14ac:dyDescent="0.25"/>
  </sheetData>
  <mergeCells count="22">
    <mergeCell ref="C1:E1"/>
    <mergeCell ref="A2:A8"/>
    <mergeCell ref="C2:E2"/>
    <mergeCell ref="C3:E3"/>
    <mergeCell ref="C4:E4"/>
    <mergeCell ref="C5:E5"/>
    <mergeCell ref="C6:E6"/>
    <mergeCell ref="C7:E7"/>
    <mergeCell ref="C8:E8"/>
    <mergeCell ref="C21:E21"/>
    <mergeCell ref="A9:A14"/>
    <mergeCell ref="C9:E9"/>
    <mergeCell ref="C10:E10"/>
    <mergeCell ref="C11:E11"/>
    <mergeCell ref="C12:E12"/>
    <mergeCell ref="C13:E13"/>
    <mergeCell ref="C14:E14"/>
    <mergeCell ref="C15:E15"/>
    <mergeCell ref="A17:A19"/>
    <mergeCell ref="C17:E17"/>
    <mergeCell ref="C18:E18"/>
    <mergeCell ref="C19:E19"/>
  </mergeCells>
  <pageMargins left="0.511811024" right="0.511811024" top="0.78740157499999996" bottom="0.78740157499999996" header="0.31496062000000002" footer="0.31496062000000002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DA4B6-1B80-4C38-97CC-0884773FEE87}">
  <dimension ref="A1:I20"/>
  <sheetViews>
    <sheetView topLeftCell="A4" workbookViewId="0">
      <selection activeCell="I11" sqref="I11"/>
    </sheetView>
  </sheetViews>
  <sheetFormatPr defaultRowHeight="15" x14ac:dyDescent="0.25"/>
  <cols>
    <col min="1" max="1" width="4.7109375" customWidth="1"/>
    <col min="2" max="2" width="45.42578125" customWidth="1"/>
    <col min="3" max="3" width="11.42578125" customWidth="1"/>
    <col min="4" max="4" width="10.28515625" customWidth="1"/>
    <col min="5" max="5" width="10.42578125" customWidth="1"/>
    <col min="6" max="6" width="11" customWidth="1"/>
    <col min="7" max="7" width="14.5703125" customWidth="1"/>
    <col min="8" max="8" width="8" customWidth="1"/>
    <col min="9" max="9" width="11.7109375" customWidth="1"/>
  </cols>
  <sheetData>
    <row r="1" spans="1:9" x14ac:dyDescent="0.25">
      <c r="A1" s="428" t="s">
        <v>373</v>
      </c>
      <c r="B1" s="428"/>
      <c r="C1" s="428"/>
      <c r="D1" s="428"/>
      <c r="E1" s="428"/>
      <c r="F1" s="428"/>
      <c r="G1" s="428"/>
      <c r="H1" s="428"/>
      <c r="I1" s="428"/>
    </row>
    <row r="2" spans="1:9" ht="42.75" thickBot="1" x14ac:dyDescent="0.3">
      <c r="A2" s="195" t="s">
        <v>175</v>
      </c>
      <c r="B2" s="195" t="s">
        <v>177</v>
      </c>
      <c r="C2" s="195" t="s">
        <v>374</v>
      </c>
      <c r="D2" s="195" t="s">
        <v>375</v>
      </c>
      <c r="E2" s="195" t="s">
        <v>376</v>
      </c>
      <c r="F2" s="195" t="s">
        <v>444</v>
      </c>
      <c r="G2" s="195" t="s">
        <v>377</v>
      </c>
      <c r="H2" s="195" t="s">
        <v>378</v>
      </c>
      <c r="I2" s="196" t="s">
        <v>229</v>
      </c>
    </row>
    <row r="3" spans="1:9" ht="15.75" thickTop="1" x14ac:dyDescent="0.25">
      <c r="A3" s="197">
        <v>1</v>
      </c>
      <c r="B3" s="198" t="s">
        <v>379</v>
      </c>
      <c r="C3" s="199">
        <f>1550*12</f>
        <v>18600</v>
      </c>
      <c r="D3" s="200">
        <f>1/800</f>
        <v>1.25E-3</v>
      </c>
      <c r="E3" s="200">
        <f>1/(800*6)</f>
        <v>2.0833333333333335E-4</v>
      </c>
      <c r="F3" s="201">
        <f>(E17)*D3</f>
        <v>3.7640373980863808</v>
      </c>
      <c r="G3" s="201">
        <f>(E18)*E3</f>
        <v>0.83783512522558801</v>
      </c>
      <c r="H3" s="202">
        <f t="shared" ref="H3:H8" si="0">(F3+G3)</f>
        <v>4.6018725233119691</v>
      </c>
      <c r="I3" s="177">
        <f>+H3*C3</f>
        <v>85594.828933602621</v>
      </c>
    </row>
    <row r="4" spans="1:9" x14ac:dyDescent="0.25">
      <c r="A4" s="203">
        <v>2</v>
      </c>
      <c r="B4" s="204" t="s">
        <v>380</v>
      </c>
      <c r="C4" s="205">
        <f>390*12</f>
        <v>4680</v>
      </c>
      <c r="D4" s="206">
        <f>1/360</f>
        <v>2.7777777777777779E-3</v>
      </c>
      <c r="E4" s="206">
        <f>1/(360*6)</f>
        <v>4.6296296296296298E-4</v>
      </c>
      <c r="F4" s="207">
        <f>(E17)*D4</f>
        <v>8.3645275513030679</v>
      </c>
      <c r="G4" s="207">
        <f>(E18)*E4</f>
        <v>1.86185583383464</v>
      </c>
      <c r="H4" s="202">
        <f t="shared" si="0"/>
        <v>10.226383385137709</v>
      </c>
      <c r="I4" s="207">
        <f t="shared" ref="I4:I9" si="1">+H4*C4</f>
        <v>47859.474242444478</v>
      </c>
    </row>
    <row r="5" spans="1:9" x14ac:dyDescent="0.25">
      <c r="A5" s="197">
        <v>3</v>
      </c>
      <c r="B5" s="198" t="s">
        <v>381</v>
      </c>
      <c r="C5" s="199">
        <f>800*12</f>
        <v>9600</v>
      </c>
      <c r="D5" s="208">
        <f>1/1000</f>
        <v>1E-3</v>
      </c>
      <c r="E5" s="208">
        <f>1/(1000*6)</f>
        <v>1.6666666666666666E-4</v>
      </c>
      <c r="F5" s="201">
        <f>(E17)*D5</f>
        <v>3.0112299184691045</v>
      </c>
      <c r="G5" s="201">
        <f>(E18)*E5</f>
        <v>0.67026810018047034</v>
      </c>
      <c r="H5" s="202">
        <f t="shared" si="0"/>
        <v>3.6814980186495747</v>
      </c>
      <c r="I5" s="201">
        <f>+H5*C5</f>
        <v>35342.380979035916</v>
      </c>
    </row>
    <row r="6" spans="1:9" x14ac:dyDescent="0.25">
      <c r="A6" s="203">
        <v>4</v>
      </c>
      <c r="B6" s="204" t="s">
        <v>382</v>
      </c>
      <c r="C6" s="205">
        <f>250*12</f>
        <v>3000</v>
      </c>
      <c r="D6" s="206">
        <f>1/200</f>
        <v>5.0000000000000001E-3</v>
      </c>
      <c r="E6" s="206">
        <f>1/(200*6)</f>
        <v>8.3333333333333339E-4</v>
      </c>
      <c r="F6" s="207">
        <f>(E17)*D6</f>
        <v>15.056149592345523</v>
      </c>
      <c r="G6" s="207">
        <f>(E18)*E6</f>
        <v>3.351340500902352</v>
      </c>
      <c r="H6" s="202">
        <f t="shared" si="0"/>
        <v>18.407490093247876</v>
      </c>
      <c r="I6" s="207">
        <f t="shared" si="1"/>
        <v>55222.470279743626</v>
      </c>
    </row>
    <row r="7" spans="1:9" x14ac:dyDescent="0.25">
      <c r="A7" s="197">
        <v>5</v>
      </c>
      <c r="B7" s="198" t="s">
        <v>383</v>
      </c>
      <c r="C7" s="199">
        <f>5000*12</f>
        <v>60000</v>
      </c>
      <c r="D7" s="208">
        <f>1/6000</f>
        <v>1.6666666666666666E-4</v>
      </c>
      <c r="E7" s="208">
        <f>1/(6000*6)</f>
        <v>2.7777777777777779E-5</v>
      </c>
      <c r="F7" s="201">
        <f>(E17)*D7</f>
        <v>0.50187165307818404</v>
      </c>
      <c r="G7" s="201">
        <f>(E18)*E7</f>
        <v>0.1117113500300784</v>
      </c>
      <c r="H7" s="202">
        <f t="shared" si="0"/>
        <v>0.61358300310826241</v>
      </c>
      <c r="I7" s="201">
        <f t="shared" si="1"/>
        <v>36814.980186495748</v>
      </c>
    </row>
    <row r="8" spans="1:9" x14ac:dyDescent="0.25">
      <c r="A8" s="203">
        <v>6</v>
      </c>
      <c r="B8" s="204" t="s">
        <v>384</v>
      </c>
      <c r="C8" s="205">
        <f>120*12</f>
        <v>1440</v>
      </c>
      <c r="D8" s="206">
        <f>1/300*16*(1/188.76)</f>
        <v>2.8254573709119167E-4</v>
      </c>
      <c r="E8" s="206">
        <f>1/(300*6)*16*(1/188.76)</f>
        <v>4.7090956181865278E-5</v>
      </c>
      <c r="F8" s="207">
        <f>(E17)*D8</f>
        <v>0.85081017686490212</v>
      </c>
      <c r="G8" s="207">
        <f>(E18)*E8</f>
        <v>0.18938139441420371</v>
      </c>
      <c r="H8" s="202">
        <f t="shared" si="0"/>
        <v>1.0401915712791059</v>
      </c>
      <c r="I8" s="207">
        <f t="shared" si="1"/>
        <v>1497.8758626419126</v>
      </c>
    </row>
    <row r="9" spans="1:9" x14ac:dyDescent="0.25">
      <c r="A9" s="197">
        <v>7</v>
      </c>
      <c r="B9" s="198" t="s">
        <v>385</v>
      </c>
      <c r="C9" s="199">
        <f>220*12</f>
        <v>2640</v>
      </c>
      <c r="D9" s="208">
        <f>1/300*16*(1/188.76)</f>
        <v>2.8254573709119167E-4</v>
      </c>
      <c r="E9" s="208">
        <f>1/(300*6)*16*(1/188.76)</f>
        <v>4.7090956181865278E-5</v>
      </c>
      <c r="F9" s="201">
        <f>(E17)*D9</f>
        <v>0.85081017686490212</v>
      </c>
      <c r="G9" s="201">
        <f>(E18)*E9</f>
        <v>0.18938139441420371</v>
      </c>
      <c r="H9" s="202">
        <f>(F9+G9)</f>
        <v>1.0401915712791059</v>
      </c>
      <c r="I9" s="201">
        <f t="shared" si="1"/>
        <v>2746.1057481768394</v>
      </c>
    </row>
    <row r="10" spans="1:9" ht="18.75" customHeight="1" thickBot="1" x14ac:dyDescent="0.3">
      <c r="A10" s="172"/>
      <c r="B10" s="163" t="s">
        <v>188</v>
      </c>
      <c r="C10" s="163">
        <f>SUM(C3:C9)</f>
        <v>99960</v>
      </c>
      <c r="D10" s="163"/>
      <c r="E10" s="163"/>
      <c r="F10" s="163"/>
      <c r="G10" s="163"/>
      <c r="H10" s="163"/>
      <c r="I10" s="209">
        <f>SUM(I3:I9)</f>
        <v>265078.11623214121</v>
      </c>
    </row>
    <row r="11" spans="1:9" ht="23.25" customHeight="1" thickTop="1" thickBot="1" x14ac:dyDescent="0.3">
      <c r="A11" s="172"/>
      <c r="B11" s="163" t="s">
        <v>189</v>
      </c>
      <c r="C11" s="163"/>
      <c r="D11" s="163"/>
      <c r="E11" s="163"/>
      <c r="F11" s="163"/>
      <c r="G11" s="163"/>
      <c r="H11" s="163"/>
      <c r="I11" s="209">
        <f>+I10/12</f>
        <v>22089.843019345102</v>
      </c>
    </row>
    <row r="12" spans="1:9" ht="15.75" thickTop="1" x14ac:dyDescent="0.25">
      <c r="A12" s="124" t="s">
        <v>386</v>
      </c>
      <c r="B12" s="124"/>
      <c r="C12" s="50"/>
      <c r="D12" s="50"/>
      <c r="E12" s="50"/>
      <c r="F12" s="50"/>
      <c r="G12" s="50"/>
      <c r="H12" s="50"/>
      <c r="I12" s="50"/>
    </row>
    <row r="13" spans="1:9" x14ac:dyDescent="0.25">
      <c r="A13" s="124" t="s">
        <v>387</v>
      </c>
      <c r="B13" s="124"/>
      <c r="C13" s="50"/>
      <c r="D13" s="50"/>
      <c r="E13" s="50"/>
      <c r="F13" s="50"/>
      <c r="G13" s="50"/>
      <c r="H13" s="50"/>
      <c r="I13" s="50"/>
    </row>
    <row r="14" spans="1:9" x14ac:dyDescent="0.25">
      <c r="A14" s="124"/>
      <c r="B14" s="124"/>
      <c r="C14" s="50"/>
      <c r="D14" s="50"/>
      <c r="E14" s="50"/>
      <c r="F14" s="50"/>
      <c r="G14" s="50"/>
      <c r="H14" s="50"/>
      <c r="I14" s="50"/>
    </row>
    <row r="15" spans="1:9" ht="16.5" customHeight="1" x14ac:dyDescent="0.25">
      <c r="A15" s="420" t="s">
        <v>449</v>
      </c>
      <c r="B15" s="421"/>
      <c r="C15" s="421"/>
      <c r="D15" s="421"/>
      <c r="E15" s="421"/>
      <c r="F15" s="421"/>
      <c r="G15" s="50"/>
      <c r="I15" s="50"/>
    </row>
    <row r="16" spans="1:9" ht="24" customHeight="1" x14ac:dyDescent="0.25">
      <c r="A16" s="419" t="s">
        <v>388</v>
      </c>
      <c r="B16" s="419"/>
      <c r="C16" s="419" t="s">
        <v>266</v>
      </c>
      <c r="D16" s="419"/>
      <c r="E16" s="419" t="s">
        <v>389</v>
      </c>
      <c r="F16" s="419"/>
      <c r="G16" s="50"/>
      <c r="I16" s="50"/>
    </row>
    <row r="17" spans="1:9" x14ac:dyDescent="0.25">
      <c r="A17" s="422" t="s">
        <v>390</v>
      </c>
      <c r="B17" s="422"/>
      <c r="C17" s="423">
        <v>6</v>
      </c>
      <c r="D17" s="423"/>
      <c r="E17" s="424">
        <f>ASG!D114</f>
        <v>3011.2299184691046</v>
      </c>
      <c r="F17" s="424"/>
      <c r="I17" s="50"/>
    </row>
    <row r="18" spans="1:9" x14ac:dyDescent="0.25">
      <c r="A18" s="425" t="s">
        <v>284</v>
      </c>
      <c r="B18" s="425"/>
      <c r="C18" s="426">
        <v>1</v>
      </c>
      <c r="D18" s="426"/>
      <c r="E18" s="427">
        <f>Encarregado_!D114</f>
        <v>4021.6086010828221</v>
      </c>
      <c r="F18" s="427"/>
      <c r="I18" s="50"/>
    </row>
    <row r="19" spans="1:9" x14ac:dyDescent="0.25">
      <c r="A19" s="50"/>
      <c r="D19" s="50"/>
      <c r="G19" s="50"/>
      <c r="I19" s="50"/>
    </row>
    <row r="20" spans="1:9" x14ac:dyDescent="0.25">
      <c r="A20" s="50"/>
      <c r="D20" s="50"/>
      <c r="G20" s="50"/>
      <c r="I20" s="50"/>
    </row>
  </sheetData>
  <mergeCells count="11">
    <mergeCell ref="A18:B18"/>
    <mergeCell ref="C18:D18"/>
    <mergeCell ref="E18:F18"/>
    <mergeCell ref="A1:I1"/>
    <mergeCell ref="E16:F16"/>
    <mergeCell ref="C16:D16"/>
    <mergeCell ref="A16:B16"/>
    <mergeCell ref="A15:F15"/>
    <mergeCell ref="A17:B17"/>
    <mergeCell ref="C17:D17"/>
    <mergeCell ref="E17:F17"/>
  </mergeCells>
  <pageMargins left="0.511811024" right="0.511811024" top="0.78740157499999996" bottom="0.78740157499999996" header="0.31496062000000002" footer="0.31496062000000002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0"/>
  <sheetViews>
    <sheetView showGridLines="0" topLeftCell="D125" zoomScale="140" zoomScaleNormal="140" workbookViewId="0">
      <selection activeCell="D118" sqref="D118"/>
    </sheetView>
  </sheetViews>
  <sheetFormatPr defaultColWidth="9" defaultRowHeight="15" outlineLevelRow="1" x14ac:dyDescent="0.25"/>
  <cols>
    <col min="1" max="1" width="12.42578125" customWidth="1"/>
    <col min="2" max="2" width="76.42578125" customWidth="1"/>
    <col min="3" max="3" width="28.42578125" customWidth="1"/>
    <col min="4" max="4" width="27.42578125" customWidth="1"/>
    <col min="6" max="6" width="32.7109375" customWidth="1"/>
    <col min="7" max="7" width="13" customWidth="1"/>
  </cols>
  <sheetData>
    <row r="1" spans="1:7" x14ac:dyDescent="0.25">
      <c r="A1" s="283" t="s">
        <v>0</v>
      </c>
      <c r="B1" s="283"/>
      <c r="C1" s="283"/>
      <c r="D1" s="283"/>
      <c r="F1" s="284" t="s">
        <v>1</v>
      </c>
      <c r="G1" s="284"/>
    </row>
    <row r="2" spans="1:7" x14ac:dyDescent="0.25">
      <c r="A2" s="2" t="s">
        <v>2</v>
      </c>
      <c r="B2" t="s">
        <v>3</v>
      </c>
      <c r="C2" s="2" t="s">
        <v>4</v>
      </c>
      <c r="D2" s="2" t="s">
        <v>5</v>
      </c>
      <c r="F2" t="s">
        <v>3</v>
      </c>
      <c r="G2" t="s">
        <v>5</v>
      </c>
    </row>
    <row r="3" spans="1:7" x14ac:dyDescent="0.25">
      <c r="A3" s="2">
        <v>1</v>
      </c>
      <c r="B3" t="s">
        <v>6</v>
      </c>
      <c r="C3" s="2"/>
      <c r="D3" s="2" t="s">
        <v>7</v>
      </c>
      <c r="F3" t="s">
        <v>8</v>
      </c>
      <c r="G3" s="3">
        <v>3.8</v>
      </c>
    </row>
    <row r="4" spans="1:7" x14ac:dyDescent="0.25">
      <c r="A4" s="2">
        <v>2</v>
      </c>
      <c r="B4" t="s">
        <v>9</v>
      </c>
      <c r="C4" s="2"/>
      <c r="D4" s="2" t="s">
        <v>10</v>
      </c>
      <c r="F4" t="s">
        <v>11</v>
      </c>
      <c r="G4" s="3">
        <v>14</v>
      </c>
    </row>
    <row r="5" spans="1:7" x14ac:dyDescent="0.25">
      <c r="A5" s="2">
        <v>3</v>
      </c>
      <c r="B5" t="s">
        <v>12</v>
      </c>
      <c r="C5" s="2" t="s">
        <v>13</v>
      </c>
      <c r="D5" s="4">
        <v>1206.74</v>
      </c>
      <c r="F5" t="s">
        <v>14</v>
      </c>
      <c r="G5" s="5">
        <v>22</v>
      </c>
    </row>
    <row r="6" spans="1:7" x14ac:dyDescent="0.25">
      <c r="A6" s="2">
        <v>4</v>
      </c>
      <c r="B6" t="s">
        <v>15</v>
      </c>
      <c r="C6" s="2" t="s">
        <v>16</v>
      </c>
      <c r="D6" s="2" t="s">
        <v>173</v>
      </c>
      <c r="F6" t="s">
        <v>18</v>
      </c>
      <c r="G6" s="6">
        <v>0.03</v>
      </c>
    </row>
    <row r="7" spans="1:7" x14ac:dyDescent="0.25">
      <c r="A7" s="2">
        <v>5</v>
      </c>
      <c r="B7" t="s">
        <v>19</v>
      </c>
      <c r="C7" s="2"/>
      <c r="D7" s="2" t="s">
        <v>20</v>
      </c>
    </row>
    <row r="8" spans="1:7" x14ac:dyDescent="0.25">
      <c r="F8" s="284" t="s">
        <v>21</v>
      </c>
      <c r="G8" s="284"/>
    </row>
    <row r="9" spans="1:7" x14ac:dyDescent="0.25">
      <c r="A9" s="285" t="s">
        <v>22</v>
      </c>
      <c r="B9" s="285"/>
      <c r="C9" s="285"/>
      <c r="D9" s="285"/>
      <c r="F9" t="s">
        <v>23</v>
      </c>
      <c r="G9" t="s">
        <v>24</v>
      </c>
    </row>
    <row r="10" spans="1:7" x14ac:dyDescent="0.25">
      <c r="A10" s="2" t="s">
        <v>25</v>
      </c>
      <c r="B10" t="s">
        <v>26</v>
      </c>
      <c r="C10" s="2" t="s">
        <v>4</v>
      </c>
      <c r="D10" s="2" t="s">
        <v>5</v>
      </c>
      <c r="F10" t="s">
        <v>27</v>
      </c>
      <c r="G10" s="7">
        <v>0.43369999999999997</v>
      </c>
    </row>
    <row r="11" spans="1:7" x14ac:dyDescent="0.25">
      <c r="A11" s="2" t="s">
        <v>28</v>
      </c>
      <c r="B11" t="s">
        <v>29</v>
      </c>
      <c r="C11" s="2"/>
      <c r="D11" s="8">
        <f>Salário_Normativo_da_Categoria_Profissional</f>
        <v>1206.74</v>
      </c>
      <c r="F11" t="s">
        <v>30</v>
      </c>
      <c r="G11" s="7">
        <v>0.43369999999999997</v>
      </c>
    </row>
    <row r="12" spans="1:7" x14ac:dyDescent="0.25">
      <c r="A12" s="2" t="s">
        <v>31</v>
      </c>
      <c r="B12" t="s">
        <v>32</v>
      </c>
      <c r="C12" s="2"/>
      <c r="D12" s="8"/>
      <c r="F12" t="s">
        <v>33</v>
      </c>
      <c r="G12" s="7">
        <v>2.18E-2</v>
      </c>
    </row>
    <row r="13" spans="1:7" x14ac:dyDescent="0.25">
      <c r="A13" s="2" t="s">
        <v>34</v>
      </c>
      <c r="B13" t="s">
        <v>35</v>
      </c>
      <c r="C13" s="2"/>
      <c r="D13" s="8"/>
    </row>
    <row r="14" spans="1:7" x14ac:dyDescent="0.25">
      <c r="A14" s="2" t="s">
        <v>36</v>
      </c>
      <c r="B14" t="s">
        <v>37</v>
      </c>
      <c r="C14" s="2"/>
      <c r="D14" s="8"/>
      <c r="F14" s="284" t="s">
        <v>38</v>
      </c>
      <c r="G14" s="284"/>
    </row>
    <row r="15" spans="1:7" x14ac:dyDescent="0.25">
      <c r="A15" s="2" t="s">
        <v>39</v>
      </c>
      <c r="B15" t="s">
        <v>40</v>
      </c>
      <c r="C15" s="2"/>
      <c r="D15" s="8"/>
      <c r="F15" t="s">
        <v>3</v>
      </c>
      <c r="G15" t="s">
        <v>24</v>
      </c>
    </row>
    <row r="16" spans="1:7" x14ac:dyDescent="0.25">
      <c r="A16" s="2" t="s">
        <v>41</v>
      </c>
      <c r="B16" t="s">
        <v>42</v>
      </c>
      <c r="C16" s="2"/>
      <c r="D16" s="8">
        <v>200</v>
      </c>
      <c r="F16" t="s">
        <v>43</v>
      </c>
      <c r="G16" s="9">
        <v>0.03</v>
      </c>
    </row>
    <row r="17" spans="1:7" x14ac:dyDescent="0.25">
      <c r="A17" s="2" t="s">
        <v>44</v>
      </c>
      <c r="C17" s="2"/>
      <c r="D17" s="8">
        <f>SUBTOTAL(109,D11:D16)</f>
        <v>1406.74</v>
      </c>
      <c r="F17" t="s">
        <v>45</v>
      </c>
      <c r="G17" s="9">
        <v>6.7900000000000002E-2</v>
      </c>
    </row>
    <row r="18" spans="1:7" x14ac:dyDescent="0.25">
      <c r="F18" t="s">
        <v>46</v>
      </c>
      <c r="G18" s="10">
        <v>1.6500000000000001E-2</v>
      </c>
    </row>
    <row r="19" spans="1:7" x14ac:dyDescent="0.25">
      <c r="A19" s="286" t="s">
        <v>47</v>
      </c>
      <c r="B19" s="286"/>
      <c r="C19" s="286"/>
      <c r="D19" s="286"/>
      <c r="F19" t="s">
        <v>48</v>
      </c>
      <c r="G19" s="10">
        <v>7.5999999999999998E-2</v>
      </c>
    </row>
    <row r="20" spans="1:7" x14ac:dyDescent="0.25">
      <c r="A20" s="284" t="s">
        <v>49</v>
      </c>
      <c r="B20" s="284"/>
      <c r="C20" s="284"/>
      <c r="D20" s="284"/>
      <c r="F20" t="s">
        <v>50</v>
      </c>
      <c r="G20" s="10">
        <v>0.05</v>
      </c>
    </row>
    <row r="21" spans="1:7" x14ac:dyDescent="0.25">
      <c r="A21" s="2" t="s">
        <v>51</v>
      </c>
      <c r="B21" t="s">
        <v>52</v>
      </c>
      <c r="C21" s="2" t="s">
        <v>4</v>
      </c>
      <c r="D21" s="2" t="s">
        <v>5</v>
      </c>
    </row>
    <row r="22" spans="1:7" x14ac:dyDescent="0.25">
      <c r="A22" s="2" t="s">
        <v>28</v>
      </c>
      <c r="B22" t="s">
        <v>53</v>
      </c>
      <c r="D22" s="8">
        <f>Encarregado!$D$17/12</f>
        <v>117.22833333333334</v>
      </c>
      <c r="F22" s="284" t="s">
        <v>54</v>
      </c>
      <c r="G22" s="284"/>
    </row>
    <row r="23" spans="1:7" x14ac:dyDescent="0.25">
      <c r="A23" s="2" t="s">
        <v>31</v>
      </c>
      <c r="B23" t="s">
        <v>55</v>
      </c>
      <c r="D23" s="8">
        <f>(Encarregado!$D$17/12)*(1/3)</f>
        <v>39.076111111111111</v>
      </c>
      <c r="E23" s="11"/>
      <c r="F23" s="2" t="s">
        <v>3</v>
      </c>
      <c r="G23" s="2" t="s">
        <v>5</v>
      </c>
    </row>
    <row r="24" spans="1:7" x14ac:dyDescent="0.25">
      <c r="A24" s="2" t="s">
        <v>44</v>
      </c>
      <c r="D24" s="8">
        <f>SUBTOTAL(109,D22:D23)</f>
        <v>156.30444444444444</v>
      </c>
      <c r="F24" t="s">
        <v>56</v>
      </c>
      <c r="G24" s="12">
        <f>((D17+D24+(D17/12))*(100%+C41))/30</f>
        <v>76.620438666666658</v>
      </c>
    </row>
    <row r="25" spans="1:7" x14ac:dyDescent="0.25">
      <c r="A25" s="2"/>
      <c r="D25" s="8"/>
      <c r="F25" t="s">
        <v>57</v>
      </c>
      <c r="G25" s="12">
        <f>((D17*(1+(1/3))*(100%+C41))/12)/30</f>
        <v>7.1274826666666664</v>
      </c>
    </row>
    <row r="26" spans="1:7" x14ac:dyDescent="0.25">
      <c r="A26" s="287" t="s">
        <v>58</v>
      </c>
      <c r="B26" s="287"/>
      <c r="C26" s="287"/>
      <c r="D26" s="287"/>
    </row>
    <row r="27" spans="1:7" x14ac:dyDescent="0.25">
      <c r="A27" s="1" t="s">
        <v>2</v>
      </c>
      <c r="B27" s="1" t="s">
        <v>59</v>
      </c>
      <c r="C27" s="1" t="s">
        <v>60</v>
      </c>
      <c r="D27" s="13" t="s">
        <v>61</v>
      </c>
    </row>
    <row r="28" spans="1:7" ht="30" x14ac:dyDescent="0.25">
      <c r="A28" s="14" t="s">
        <v>28</v>
      </c>
      <c r="B28" s="15" t="s">
        <v>62</v>
      </c>
      <c r="C28" s="16" t="s">
        <v>63</v>
      </c>
      <c r="D28" s="15" t="s">
        <v>64</v>
      </c>
    </row>
    <row r="29" spans="1:7" x14ac:dyDescent="0.25">
      <c r="A29" s="14" t="s">
        <v>31</v>
      </c>
      <c r="B29" s="17" t="s">
        <v>55</v>
      </c>
      <c r="C29" s="16" t="s">
        <v>63</v>
      </c>
      <c r="D29" s="15" t="s">
        <v>65</v>
      </c>
    </row>
    <row r="30" spans="1:7" x14ac:dyDescent="0.25">
      <c r="A30" s="2"/>
      <c r="B30" s="2"/>
      <c r="C30" s="18"/>
    </row>
    <row r="31" spans="1:7" x14ac:dyDescent="0.25">
      <c r="A31" s="284" t="s">
        <v>66</v>
      </c>
      <c r="B31" s="284"/>
      <c r="C31" s="284"/>
      <c r="D31" s="284"/>
    </row>
    <row r="32" spans="1:7" x14ac:dyDescent="0.25">
      <c r="A32" s="2" t="s">
        <v>67</v>
      </c>
      <c r="B32" t="s">
        <v>68</v>
      </c>
      <c r="C32" s="2" t="s">
        <v>24</v>
      </c>
      <c r="D32" s="2" t="s">
        <v>69</v>
      </c>
    </row>
    <row r="33" spans="1:4" x14ac:dyDescent="0.25">
      <c r="A33" s="2" t="s">
        <v>28</v>
      </c>
      <c r="B33" t="s">
        <v>70</v>
      </c>
      <c r="C33" s="19">
        <v>0.2</v>
      </c>
      <c r="D33" s="8">
        <f>C33*(Encarregado!$D$17+Encarregado!$D$24)</f>
        <v>312.60888888888894</v>
      </c>
    </row>
    <row r="34" spans="1:4" x14ac:dyDescent="0.25">
      <c r="A34" s="2" t="s">
        <v>31</v>
      </c>
      <c r="B34" t="s">
        <v>71</v>
      </c>
      <c r="C34" s="19">
        <v>2.5000000000000001E-2</v>
      </c>
      <c r="D34" s="8">
        <f>C34*(Encarregado!$D$17+Encarregado!$D$24)</f>
        <v>39.076111111111118</v>
      </c>
    </row>
    <row r="35" spans="1:4" x14ac:dyDescent="0.25">
      <c r="A35" s="2" t="s">
        <v>34</v>
      </c>
      <c r="B35" t="s">
        <v>72</v>
      </c>
      <c r="C35" s="19">
        <f>Encarregado!G6</f>
        <v>0.03</v>
      </c>
      <c r="D35" s="8">
        <f>C35*(Encarregado!$D$17+Encarregado!$D$24)</f>
        <v>46.891333333333336</v>
      </c>
    </row>
    <row r="36" spans="1:4" x14ac:dyDescent="0.25">
      <c r="A36" s="2" t="s">
        <v>36</v>
      </c>
      <c r="B36" t="s">
        <v>73</v>
      </c>
      <c r="C36" s="19">
        <v>1.4999999999999999E-2</v>
      </c>
      <c r="D36" s="8">
        <f>C36*(Encarregado!$D$17+Encarregado!$D$24)</f>
        <v>23.445666666666668</v>
      </c>
    </row>
    <row r="37" spans="1:4" x14ac:dyDescent="0.25">
      <c r="A37" s="2" t="s">
        <v>39</v>
      </c>
      <c r="B37" t="s">
        <v>74</v>
      </c>
      <c r="C37" s="19">
        <v>0.01</v>
      </c>
      <c r="D37" s="8">
        <f>C37*(Encarregado!$D$17+Encarregado!$D$24)</f>
        <v>15.630444444444445</v>
      </c>
    </row>
    <row r="38" spans="1:4" x14ac:dyDescent="0.25">
      <c r="A38" s="2" t="s">
        <v>41</v>
      </c>
      <c r="B38" t="s">
        <v>75</v>
      </c>
      <c r="C38" s="19">
        <v>6.0000000000000001E-3</v>
      </c>
      <c r="D38" s="8">
        <f>C38*(Encarregado!$D$17+Encarregado!$D$24)</f>
        <v>9.3782666666666668</v>
      </c>
    </row>
    <row r="39" spans="1:4" x14ac:dyDescent="0.25">
      <c r="A39" s="2" t="s">
        <v>76</v>
      </c>
      <c r="B39" t="s">
        <v>77</v>
      </c>
      <c r="C39" s="19">
        <v>2E-3</v>
      </c>
      <c r="D39" s="8">
        <f>C39*(Encarregado!$D$17+Encarregado!$D$24)</f>
        <v>3.1260888888888889</v>
      </c>
    </row>
    <row r="40" spans="1:4" x14ac:dyDescent="0.25">
      <c r="A40" s="2" t="s">
        <v>78</v>
      </c>
      <c r="B40" t="s">
        <v>79</v>
      </c>
      <c r="C40" s="19">
        <v>0.08</v>
      </c>
      <c r="D40" s="8">
        <f>C40*(Encarregado!$D$17+Encarregado!$D$24)</f>
        <v>125.04355555555556</v>
      </c>
    </row>
    <row r="41" spans="1:4" x14ac:dyDescent="0.25">
      <c r="A41" s="2" t="s">
        <v>44</v>
      </c>
      <c r="C41" s="20">
        <f>SUBTOTAL(109,C33:C40)</f>
        <v>0.36800000000000005</v>
      </c>
      <c r="D41" s="8">
        <v>575.20035555555603</v>
      </c>
    </row>
    <row r="42" spans="1:4" x14ac:dyDescent="0.25">
      <c r="A42" s="2"/>
      <c r="C42" s="20"/>
      <c r="D42" s="8"/>
    </row>
    <row r="43" spans="1:4" x14ac:dyDescent="0.25">
      <c r="A43" s="287" t="s">
        <v>80</v>
      </c>
      <c r="B43" s="287"/>
      <c r="C43" s="287"/>
      <c r="D43" s="287"/>
    </row>
    <row r="44" spans="1:4" x14ac:dyDescent="0.25">
      <c r="A44" s="1" t="s">
        <v>2</v>
      </c>
      <c r="B44" s="1" t="s">
        <v>59</v>
      </c>
      <c r="C44" s="1" t="s">
        <v>60</v>
      </c>
      <c r="D44" s="13" t="s">
        <v>61</v>
      </c>
    </row>
    <row r="45" spans="1:4" ht="30" x14ac:dyDescent="0.25">
      <c r="A45" s="14" t="s">
        <v>81</v>
      </c>
      <c r="B45" s="15" t="s">
        <v>68</v>
      </c>
      <c r="C45" s="15" t="s">
        <v>82</v>
      </c>
      <c r="D45" s="15" t="s">
        <v>83</v>
      </c>
    </row>
    <row r="47" spans="1:4" x14ac:dyDescent="0.25">
      <c r="A47" s="284" t="s">
        <v>84</v>
      </c>
      <c r="B47" s="284"/>
      <c r="C47" s="284"/>
      <c r="D47" s="284"/>
    </row>
    <row r="48" spans="1:4" x14ac:dyDescent="0.25">
      <c r="A48" s="2" t="s">
        <v>85</v>
      </c>
      <c r="B48" t="s">
        <v>86</v>
      </c>
      <c r="C48" s="2" t="s">
        <v>4</v>
      </c>
      <c r="D48" s="2" t="s">
        <v>5</v>
      </c>
    </row>
    <row r="49" spans="1:4" x14ac:dyDescent="0.25">
      <c r="A49" s="2" t="s">
        <v>28</v>
      </c>
      <c r="B49" t="s">
        <v>87</v>
      </c>
      <c r="D49" s="8">
        <f>IF(G3=0,0,(Encarregado!G3*2*Encarregado!G5)-(6%*_1A))</f>
        <v>94.795599999999993</v>
      </c>
    </row>
    <row r="50" spans="1:4" x14ac:dyDescent="0.25">
      <c r="A50" s="2" t="s">
        <v>31</v>
      </c>
      <c r="B50" t="s">
        <v>88</v>
      </c>
      <c r="D50" s="8">
        <f>(Encarregado!G4*Encarregado!G5)*80%</f>
        <v>246.4</v>
      </c>
    </row>
    <row r="51" spans="1:4" x14ac:dyDescent="0.25">
      <c r="A51" s="2" t="s">
        <v>34</v>
      </c>
      <c r="B51" t="s">
        <v>89</v>
      </c>
      <c r="D51" s="8"/>
    </row>
    <row r="52" spans="1:4" x14ac:dyDescent="0.25">
      <c r="A52" s="2" t="s">
        <v>36</v>
      </c>
      <c r="B52" t="s">
        <v>90</v>
      </c>
      <c r="C52" t="s">
        <v>91</v>
      </c>
      <c r="D52" s="8">
        <v>4</v>
      </c>
    </row>
    <row r="53" spans="1:4" x14ac:dyDescent="0.25">
      <c r="A53" s="2" t="s">
        <v>39</v>
      </c>
      <c r="B53" t="s">
        <v>92</v>
      </c>
      <c r="C53" t="s">
        <v>93</v>
      </c>
      <c r="D53" s="8">
        <v>15</v>
      </c>
    </row>
    <row r="54" spans="1:4" x14ac:dyDescent="0.25">
      <c r="A54" s="2" t="s">
        <v>44</v>
      </c>
      <c r="D54" s="8">
        <f>SUBTOTAL(109,D49:D53)</f>
        <v>360.19560000000001</v>
      </c>
    </row>
    <row r="55" spans="1:4" x14ac:dyDescent="0.25">
      <c r="A55" s="2"/>
      <c r="D55" s="8"/>
    </row>
    <row r="56" spans="1:4" x14ac:dyDescent="0.25">
      <c r="A56" s="287" t="s">
        <v>94</v>
      </c>
      <c r="B56" s="287"/>
      <c r="C56" s="287"/>
      <c r="D56" s="287"/>
    </row>
    <row r="57" spans="1:4" x14ac:dyDescent="0.25">
      <c r="A57" s="1" t="s">
        <v>2</v>
      </c>
      <c r="B57" s="1" t="s">
        <v>59</v>
      </c>
      <c r="C57" s="1" t="s">
        <v>60</v>
      </c>
      <c r="D57" s="1" t="s">
        <v>61</v>
      </c>
    </row>
    <row r="58" spans="1:4" ht="45" x14ac:dyDescent="0.25">
      <c r="A58" s="14" t="s">
        <v>28</v>
      </c>
      <c r="B58" s="15" t="s">
        <v>87</v>
      </c>
      <c r="C58" s="16" t="s">
        <v>95</v>
      </c>
      <c r="D58" s="16" t="s">
        <v>96</v>
      </c>
    </row>
    <row r="59" spans="1:4" ht="30" x14ac:dyDescent="0.25">
      <c r="A59" s="14" t="s">
        <v>31</v>
      </c>
      <c r="B59" s="17" t="s">
        <v>88</v>
      </c>
      <c r="C59" s="16" t="s">
        <v>95</v>
      </c>
      <c r="D59" s="16" t="s">
        <v>97</v>
      </c>
    </row>
    <row r="60" spans="1:4" ht="19.5" customHeight="1" x14ac:dyDescent="0.25">
      <c r="A60" s="2"/>
      <c r="D60" s="8"/>
    </row>
    <row r="61" spans="1:4" x14ac:dyDescent="0.25">
      <c r="A61" s="284" t="s">
        <v>98</v>
      </c>
      <c r="B61" s="284"/>
      <c r="C61" s="284"/>
      <c r="D61" s="284"/>
    </row>
    <row r="62" spans="1:4" x14ac:dyDescent="0.25">
      <c r="A62" s="2" t="s">
        <v>99</v>
      </c>
      <c r="B62" t="s">
        <v>100</v>
      </c>
      <c r="C62" s="2" t="s">
        <v>4</v>
      </c>
      <c r="D62" s="2" t="s">
        <v>5</v>
      </c>
    </row>
    <row r="63" spans="1:4" x14ac:dyDescent="0.25">
      <c r="A63" s="2" t="s">
        <v>51</v>
      </c>
      <c r="B63" t="s">
        <v>52</v>
      </c>
      <c r="C63" s="2"/>
      <c r="D63" s="8">
        <f>Encarregado!$D$24</f>
        <v>156.30444444444444</v>
      </c>
    </row>
    <row r="64" spans="1:4" x14ac:dyDescent="0.25">
      <c r="A64" s="2" t="s">
        <v>67</v>
      </c>
      <c r="B64" t="s">
        <v>68</v>
      </c>
      <c r="C64" s="2"/>
      <c r="D64" s="8">
        <f>Encarregado!$D$41</f>
        <v>575.20035555555603</v>
      </c>
    </row>
    <row r="65" spans="1:4" x14ac:dyDescent="0.25">
      <c r="A65" s="2" t="s">
        <v>85</v>
      </c>
      <c r="B65" t="s">
        <v>86</v>
      </c>
      <c r="C65" s="2"/>
      <c r="D65" s="8">
        <f>Encarregado!$D$54</f>
        <v>360.19560000000001</v>
      </c>
    </row>
    <row r="66" spans="1:4" x14ac:dyDescent="0.25">
      <c r="A66" s="2" t="s">
        <v>44</v>
      </c>
      <c r="C66" s="2"/>
      <c r="D66" s="8">
        <v>1091.7003999999999</v>
      </c>
    </row>
    <row r="68" spans="1:4" x14ac:dyDescent="0.25">
      <c r="A68" s="285" t="s">
        <v>101</v>
      </c>
      <c r="B68" s="285"/>
      <c r="C68" s="285"/>
      <c r="D68" s="285"/>
    </row>
    <row r="69" spans="1:4" x14ac:dyDescent="0.25">
      <c r="A69" s="2" t="s">
        <v>102</v>
      </c>
      <c r="B69" t="s">
        <v>103</v>
      </c>
      <c r="C69" s="2" t="s">
        <v>4</v>
      </c>
      <c r="D69" s="2" t="s">
        <v>5</v>
      </c>
    </row>
    <row r="70" spans="1:4" x14ac:dyDescent="0.25">
      <c r="A70" s="2" t="s">
        <v>28</v>
      </c>
      <c r="B70" t="s">
        <v>104</v>
      </c>
      <c r="D70" s="8">
        <f>((Encarregado!$D$17+D63+D65)/12)*G10</f>
        <v>69.5091006062963</v>
      </c>
    </row>
    <row r="71" spans="1:4" x14ac:dyDescent="0.25">
      <c r="A71" s="2" t="s">
        <v>31</v>
      </c>
      <c r="B71" t="s">
        <v>105</v>
      </c>
      <c r="D71" s="8">
        <f>(D40/12)*Encarregado!G10</f>
        <v>4.5192825037037032</v>
      </c>
    </row>
    <row r="72" spans="1:4" x14ac:dyDescent="0.25">
      <c r="A72" s="2" t="s">
        <v>34</v>
      </c>
      <c r="B72" t="s">
        <v>106</v>
      </c>
      <c r="D72" s="8">
        <f>D40*50%*Encarregado!G10</f>
        <v>27.115695022222219</v>
      </c>
    </row>
    <row r="73" spans="1:4" x14ac:dyDescent="0.25">
      <c r="A73" s="2" t="s">
        <v>36</v>
      </c>
      <c r="B73" t="s">
        <v>107</v>
      </c>
      <c r="D73" s="8">
        <f>((Encarregado!$D$17+Encarregado!$D$66)/12)*G11</f>
        <v>90.297800123333317</v>
      </c>
    </row>
    <row r="74" spans="1:4" x14ac:dyDescent="0.25">
      <c r="A74" s="2" t="s">
        <v>39</v>
      </c>
      <c r="B74" t="s">
        <v>108</v>
      </c>
      <c r="D74" s="8">
        <f>D40*50%*Encarregado!G11</f>
        <v>27.115695022222219</v>
      </c>
    </row>
    <row r="75" spans="1:4" x14ac:dyDescent="0.25">
      <c r="A75" s="2" t="s">
        <v>41</v>
      </c>
      <c r="B75" t="s">
        <v>109</v>
      </c>
      <c r="D75" s="8">
        <f>-D63*Encarregado!G12</f>
        <v>-3.4074368888888888</v>
      </c>
    </row>
    <row r="76" spans="1:4" x14ac:dyDescent="0.25">
      <c r="A76" s="2" t="s">
        <v>44</v>
      </c>
      <c r="D76" s="8">
        <v>215.150136388889</v>
      </c>
    </row>
    <row r="77" spans="1:4" x14ac:dyDescent="0.25">
      <c r="A77" s="2"/>
      <c r="D77" s="8"/>
    </row>
    <row r="78" spans="1:4" x14ac:dyDescent="0.25">
      <c r="A78" s="287" t="s">
        <v>110</v>
      </c>
      <c r="B78" s="287"/>
      <c r="C78" s="287"/>
      <c r="D78" s="287"/>
    </row>
    <row r="79" spans="1:4" x14ac:dyDescent="0.25">
      <c r="A79" s="1" t="s">
        <v>2</v>
      </c>
      <c r="B79" s="1" t="s">
        <v>59</v>
      </c>
      <c r="C79" s="1" t="s">
        <v>60</v>
      </c>
      <c r="D79" s="1" t="s">
        <v>61</v>
      </c>
    </row>
    <row r="80" spans="1:4" ht="60" x14ac:dyDescent="0.25">
      <c r="A80" s="14" t="s">
        <v>28</v>
      </c>
      <c r="B80" s="15" t="s">
        <v>104</v>
      </c>
      <c r="C80" s="16" t="s">
        <v>111</v>
      </c>
      <c r="D80" s="16" t="s">
        <v>112</v>
      </c>
    </row>
    <row r="81" spans="1:5" ht="60" x14ac:dyDescent="0.25">
      <c r="A81" s="14" t="s">
        <v>31</v>
      </c>
      <c r="B81" s="17" t="s">
        <v>105</v>
      </c>
      <c r="C81" s="16" t="s">
        <v>113</v>
      </c>
      <c r="D81" s="16" t="s">
        <v>112</v>
      </c>
    </row>
    <row r="82" spans="1:5" ht="75" x14ac:dyDescent="0.25">
      <c r="A82" s="14" t="s">
        <v>34</v>
      </c>
      <c r="B82" s="17" t="s">
        <v>106</v>
      </c>
      <c r="C82" s="16" t="s">
        <v>113</v>
      </c>
      <c r="D82" s="21" t="s">
        <v>114</v>
      </c>
    </row>
    <row r="83" spans="1:5" ht="60" x14ac:dyDescent="0.25">
      <c r="A83" s="14" t="s">
        <v>36</v>
      </c>
      <c r="B83" s="22" t="s">
        <v>107</v>
      </c>
      <c r="C83" s="16" t="s">
        <v>115</v>
      </c>
      <c r="D83" s="21" t="s">
        <v>116</v>
      </c>
    </row>
    <row r="84" spans="1:5" ht="75" x14ac:dyDescent="0.25">
      <c r="A84" s="14" t="s">
        <v>39</v>
      </c>
      <c r="B84" s="22" t="s">
        <v>108</v>
      </c>
      <c r="C84" s="16" t="s">
        <v>113</v>
      </c>
      <c r="D84" s="21" t="s">
        <v>117</v>
      </c>
    </row>
    <row r="85" spans="1:5" ht="60" x14ac:dyDescent="0.25">
      <c r="A85" s="14" t="s">
        <v>41</v>
      </c>
      <c r="B85" s="22" t="s">
        <v>109</v>
      </c>
      <c r="C85" s="16" t="s">
        <v>118</v>
      </c>
      <c r="D85" s="21" t="s">
        <v>119</v>
      </c>
    </row>
    <row r="87" spans="1:5" ht="15" customHeight="1" x14ac:dyDescent="0.25">
      <c r="A87" s="288" t="s">
        <v>120</v>
      </c>
      <c r="B87" s="288"/>
      <c r="C87" s="288"/>
      <c r="D87" s="288"/>
    </row>
    <row r="88" spans="1:5" x14ac:dyDescent="0.25">
      <c r="A88" s="284" t="s">
        <v>121</v>
      </c>
      <c r="B88" s="284"/>
      <c r="C88" s="284"/>
      <c r="D88" s="284"/>
    </row>
    <row r="89" spans="1:5" x14ac:dyDescent="0.25">
      <c r="A89" s="2" t="s">
        <v>122</v>
      </c>
      <c r="B89" t="s">
        <v>123</v>
      </c>
      <c r="C89" s="2" t="s">
        <v>124</v>
      </c>
      <c r="D89" s="2" t="s">
        <v>5</v>
      </c>
    </row>
    <row r="90" spans="1:5" x14ac:dyDescent="0.25">
      <c r="A90" s="2" t="s">
        <v>28</v>
      </c>
      <c r="B90" t="s">
        <v>125</v>
      </c>
      <c r="C90" s="2">
        <v>30</v>
      </c>
      <c r="D90" s="8">
        <f>(C90*G$24)/12</f>
        <v>191.55109666666667</v>
      </c>
      <c r="E90" s="11"/>
    </row>
    <row r="91" spans="1:5" x14ac:dyDescent="0.25">
      <c r="A91" s="2" t="s">
        <v>31</v>
      </c>
      <c r="B91" t="s">
        <v>126</v>
      </c>
      <c r="C91" s="2">
        <v>1.4180999999999999</v>
      </c>
      <c r="D91" s="8">
        <f>(C91*G$24)/12</f>
        <v>9.0546203394333329</v>
      </c>
      <c r="E91" s="11"/>
    </row>
    <row r="92" spans="1:5" x14ac:dyDescent="0.25">
      <c r="A92" s="2" t="s">
        <v>34</v>
      </c>
      <c r="B92" t="s">
        <v>127</v>
      </c>
      <c r="C92" s="2">
        <v>0.1898</v>
      </c>
      <c r="D92" s="8">
        <f>(C92*G$24)/12</f>
        <v>1.2118799382444443</v>
      </c>
      <c r="E92" s="11"/>
    </row>
    <row r="93" spans="1:5" x14ac:dyDescent="0.25">
      <c r="A93" s="2" t="s">
        <v>36</v>
      </c>
      <c r="B93" t="s">
        <v>128</v>
      </c>
      <c r="C93" s="2">
        <v>0.95450000000000002</v>
      </c>
      <c r="D93" s="8">
        <f>(C93*G$24)/12</f>
        <v>6.0945173922777771</v>
      </c>
      <c r="E93" s="11"/>
    </row>
    <row r="94" spans="1:5" x14ac:dyDescent="0.25">
      <c r="A94" s="2" t="s">
        <v>39</v>
      </c>
      <c r="B94" t="s">
        <v>129</v>
      </c>
      <c r="C94" s="2">
        <v>2.4723000000000002</v>
      </c>
      <c r="D94" s="8">
        <f>(C94*G$25)/12</f>
        <v>1.4684396164000002</v>
      </c>
      <c r="E94" s="11"/>
    </row>
    <row r="95" spans="1:5" x14ac:dyDescent="0.25">
      <c r="A95" s="2" t="s">
        <v>41</v>
      </c>
      <c r="B95" t="s">
        <v>130</v>
      </c>
      <c r="C95" s="2">
        <v>3.4521000000000002</v>
      </c>
      <c r="D95" s="8">
        <f>(C95*G$24)/12</f>
        <v>22.041784693433332</v>
      </c>
      <c r="E95" s="11"/>
    </row>
    <row r="96" spans="1:5" x14ac:dyDescent="0.25">
      <c r="A96" s="2" t="s">
        <v>44</v>
      </c>
      <c r="C96" s="2">
        <f>SUBTOTAL(109,C90:C95)</f>
        <v>38.486800000000002</v>
      </c>
      <c r="D96" s="8">
        <f>SUBTOTAL(109,D90:D95)</f>
        <v>231.42233864645553</v>
      </c>
    </row>
    <row r="97" spans="1:4" x14ac:dyDescent="0.25">
      <c r="A97" s="2"/>
      <c r="C97" s="2"/>
      <c r="D97" s="8"/>
    </row>
    <row r="98" spans="1:4" x14ac:dyDescent="0.25">
      <c r="A98" s="287" t="s">
        <v>131</v>
      </c>
      <c r="B98" s="287"/>
      <c r="C98" s="287"/>
      <c r="D98" s="287"/>
    </row>
    <row r="99" spans="1:4" x14ac:dyDescent="0.25">
      <c r="A99" s="1" t="s">
        <v>2</v>
      </c>
      <c r="B99" s="1" t="s">
        <v>59</v>
      </c>
      <c r="C99" s="1" t="s">
        <v>60</v>
      </c>
      <c r="D99" s="1" t="s">
        <v>61</v>
      </c>
    </row>
    <row r="100" spans="1:4" x14ac:dyDescent="0.25">
      <c r="A100" s="14" t="s">
        <v>132</v>
      </c>
      <c r="B100" s="15" t="s">
        <v>133</v>
      </c>
      <c r="C100" s="16"/>
      <c r="D100" s="16"/>
    </row>
    <row r="101" spans="1:4" ht="60" x14ac:dyDescent="0.25">
      <c r="A101" s="14" t="s">
        <v>134</v>
      </c>
      <c r="B101" s="17" t="s">
        <v>135</v>
      </c>
      <c r="C101" s="16" t="s">
        <v>136</v>
      </c>
      <c r="D101" s="16" t="s">
        <v>137</v>
      </c>
    </row>
    <row r="102" spans="1:4" ht="60" x14ac:dyDescent="0.25">
      <c r="A102" s="14" t="s">
        <v>39</v>
      </c>
      <c r="B102" s="17" t="s">
        <v>138</v>
      </c>
      <c r="C102" s="16" t="s">
        <v>139</v>
      </c>
      <c r="D102" s="16" t="s">
        <v>137</v>
      </c>
    </row>
    <row r="103" spans="1:4" x14ac:dyDescent="0.25">
      <c r="A103" s="2"/>
      <c r="C103" s="2"/>
      <c r="D103" s="8"/>
    </row>
    <row r="104" spans="1:4" x14ac:dyDescent="0.25">
      <c r="A104" s="284" t="s">
        <v>140</v>
      </c>
      <c r="B104" s="284"/>
      <c r="C104" s="284"/>
      <c r="D104" s="284"/>
    </row>
    <row r="105" spans="1:4" x14ac:dyDescent="0.25">
      <c r="A105" s="2" t="s">
        <v>141</v>
      </c>
      <c r="B105" t="s">
        <v>142</v>
      </c>
      <c r="C105" s="2" t="s">
        <v>4</v>
      </c>
      <c r="D105" s="2" t="s">
        <v>5</v>
      </c>
    </row>
    <row r="106" spans="1:4" x14ac:dyDescent="0.25">
      <c r="A106" s="2" t="s">
        <v>28</v>
      </c>
      <c r="B106" t="s">
        <v>143</v>
      </c>
      <c r="C106" s="2"/>
      <c r="D106" s="8"/>
    </row>
    <row r="107" spans="1:4" x14ac:dyDescent="0.25">
      <c r="A107" s="2" t="s">
        <v>44</v>
      </c>
      <c r="C107" s="2"/>
      <c r="D107" s="8">
        <f>SUBTOTAL(109,D106:D106)</f>
        <v>0</v>
      </c>
    </row>
    <row r="109" spans="1:4" x14ac:dyDescent="0.25">
      <c r="A109" s="284" t="s">
        <v>144</v>
      </c>
      <c r="B109" s="284"/>
      <c r="C109" s="284"/>
      <c r="D109" s="284"/>
    </row>
    <row r="110" spans="1:4" x14ac:dyDescent="0.25">
      <c r="A110" s="2" t="s">
        <v>145</v>
      </c>
      <c r="B110" t="s">
        <v>146</v>
      </c>
      <c r="C110" s="2" t="s">
        <v>4</v>
      </c>
      <c r="D110" s="2" t="s">
        <v>5</v>
      </c>
    </row>
    <row r="111" spans="1:4" x14ac:dyDescent="0.25">
      <c r="A111" s="2" t="s">
        <v>122</v>
      </c>
      <c r="B111" t="s">
        <v>123</v>
      </c>
      <c r="D111" s="8">
        <f>Encarregado!$D$96</f>
        <v>231.42233864645553</v>
      </c>
    </row>
    <row r="112" spans="1:4" x14ac:dyDescent="0.25">
      <c r="A112" s="2" t="s">
        <v>141</v>
      </c>
      <c r="B112" t="s">
        <v>147</v>
      </c>
      <c r="D112" s="8">
        <f>Encarregado!$D$107</f>
        <v>0</v>
      </c>
    </row>
    <row r="113" spans="1:4" x14ac:dyDescent="0.25">
      <c r="A113" s="2" t="s">
        <v>44</v>
      </c>
      <c r="D113" s="8">
        <f>SUBTOTAL(109,D111:D112)</f>
        <v>231.42233864645553</v>
      </c>
    </row>
    <row r="115" spans="1:4" x14ac:dyDescent="0.25">
      <c r="A115" s="285" t="s">
        <v>148</v>
      </c>
      <c r="B115" s="285"/>
      <c r="C115" s="285"/>
      <c r="D115" s="285"/>
    </row>
    <row r="116" spans="1:4" x14ac:dyDescent="0.25">
      <c r="A116" s="2" t="s">
        <v>149</v>
      </c>
      <c r="B116" t="s">
        <v>150</v>
      </c>
      <c r="C116" s="2" t="s">
        <v>4</v>
      </c>
      <c r="D116" s="2" t="s">
        <v>5</v>
      </c>
    </row>
    <row r="117" spans="1:4" x14ac:dyDescent="0.25">
      <c r="A117" s="2" t="s">
        <v>28</v>
      </c>
      <c r="B117" t="s">
        <v>151</v>
      </c>
      <c r="D117" s="8" t="e">
        <f>#REF!</f>
        <v>#REF!</v>
      </c>
    </row>
    <row r="118" spans="1:4" x14ac:dyDescent="0.25">
      <c r="A118" s="2" t="s">
        <v>31</v>
      </c>
      <c r="B118" t="s">
        <v>152</v>
      </c>
      <c r="D118" s="8"/>
    </row>
    <row r="119" spans="1:4" x14ac:dyDescent="0.25">
      <c r="A119" s="2" t="s">
        <v>34</v>
      </c>
      <c r="B119" t="s">
        <v>153</v>
      </c>
      <c r="D119" s="8"/>
    </row>
    <row r="120" spans="1:4" x14ac:dyDescent="0.25">
      <c r="A120" s="2" t="s">
        <v>36</v>
      </c>
      <c r="B120" t="s">
        <v>154</v>
      </c>
      <c r="D120" s="8"/>
    </row>
    <row r="121" spans="1:4" x14ac:dyDescent="0.25">
      <c r="A121" s="2" t="s">
        <v>44</v>
      </c>
      <c r="D121" s="8" t="e">
        <f>SUBTOTAL(109,D117:D120)</f>
        <v>#REF!</v>
      </c>
    </row>
    <row r="122" spans="1:4" x14ac:dyDescent="0.25">
      <c r="A122" s="2"/>
      <c r="D122" s="8"/>
    </row>
    <row r="123" spans="1:4" x14ac:dyDescent="0.25">
      <c r="A123" s="287" t="s">
        <v>155</v>
      </c>
      <c r="B123" s="287"/>
      <c r="C123" s="287"/>
      <c r="D123" s="287"/>
    </row>
    <row r="124" spans="1:4" x14ac:dyDescent="0.25">
      <c r="A124" s="1" t="s">
        <v>2</v>
      </c>
      <c r="B124" s="1" t="s">
        <v>59</v>
      </c>
      <c r="C124" s="1" t="s">
        <v>60</v>
      </c>
      <c r="D124" s="1" t="s">
        <v>61</v>
      </c>
    </row>
    <row r="125" spans="1:4" x14ac:dyDescent="0.25">
      <c r="A125" s="14" t="s">
        <v>28</v>
      </c>
      <c r="B125" s="15" t="s">
        <v>151</v>
      </c>
      <c r="C125" s="16" t="s">
        <v>156</v>
      </c>
      <c r="D125" s="16"/>
    </row>
    <row r="126" spans="1:4" ht="30" x14ac:dyDescent="0.25">
      <c r="A126" s="14" t="s">
        <v>31</v>
      </c>
      <c r="B126" s="17" t="s">
        <v>152</v>
      </c>
      <c r="C126" s="16" t="s">
        <v>157</v>
      </c>
      <c r="D126" s="16" t="s">
        <v>158</v>
      </c>
    </row>
    <row r="127" spans="1:4" ht="30" x14ac:dyDescent="0.25">
      <c r="A127" s="14" t="s">
        <v>34</v>
      </c>
      <c r="B127" s="17" t="s">
        <v>153</v>
      </c>
      <c r="C127" s="16" t="s">
        <v>159</v>
      </c>
      <c r="D127" s="16" t="s">
        <v>158</v>
      </c>
    </row>
    <row r="128" spans="1:4" x14ac:dyDescent="0.25">
      <c r="A128" s="14" t="s">
        <v>36</v>
      </c>
      <c r="B128" s="17" t="s">
        <v>154</v>
      </c>
      <c r="C128" s="16"/>
      <c r="D128" s="16"/>
    </row>
    <row r="130" spans="1:4" x14ac:dyDescent="0.25">
      <c r="A130" s="285" t="s">
        <v>160</v>
      </c>
      <c r="B130" s="285"/>
      <c r="C130" s="285"/>
      <c r="D130" s="285"/>
    </row>
    <row r="131" spans="1:4" outlineLevel="1" x14ac:dyDescent="0.25">
      <c r="A131" s="2" t="s">
        <v>161</v>
      </c>
      <c r="B131" t="s">
        <v>162</v>
      </c>
      <c r="C131" s="2" t="s">
        <v>24</v>
      </c>
      <c r="D131" s="2" t="s">
        <v>5</v>
      </c>
    </row>
    <row r="132" spans="1:4" outlineLevel="1" x14ac:dyDescent="0.25">
      <c r="A132" s="2" t="s">
        <v>28</v>
      </c>
      <c r="B132" t="s">
        <v>163</v>
      </c>
      <c r="C132" s="19">
        <f>G16</f>
        <v>0.03</v>
      </c>
      <c r="D132" s="8" t="e">
        <f>Encarregado!$C$132*(D143+D144+D145+D146+D147)</f>
        <v>#REF!</v>
      </c>
    </row>
    <row r="133" spans="1:4" outlineLevel="1" x14ac:dyDescent="0.25">
      <c r="A133" s="2" t="s">
        <v>31</v>
      </c>
      <c r="B133" t="s">
        <v>45</v>
      </c>
      <c r="C133" s="19">
        <f>G17</f>
        <v>6.7900000000000002E-2</v>
      </c>
      <c r="D133" s="8" t="e">
        <f>(SUM(D143:D147)+D132)*Encarregado!$C$133</f>
        <v>#REF!</v>
      </c>
    </row>
    <row r="134" spans="1:4" x14ac:dyDescent="0.25">
      <c r="A134" s="2" t="s">
        <v>34</v>
      </c>
      <c r="B134" t="s">
        <v>164</v>
      </c>
      <c r="C134" s="19">
        <f>SUM(C135:C137)</f>
        <v>0.14250000000000002</v>
      </c>
      <c r="D134" s="8" t="e">
        <f>Encarregado!$C$134*D150</f>
        <v>#REF!</v>
      </c>
    </row>
    <row r="135" spans="1:4" x14ac:dyDescent="0.25">
      <c r="A135" s="2" t="s">
        <v>165</v>
      </c>
      <c r="B135" t="s">
        <v>46</v>
      </c>
      <c r="C135" s="19">
        <f>G18</f>
        <v>1.6500000000000001E-2</v>
      </c>
      <c r="D135" s="8" t="e">
        <f>Encarregado!$C$135*D150</f>
        <v>#REF!</v>
      </c>
    </row>
    <row r="136" spans="1:4" x14ac:dyDescent="0.25">
      <c r="A136" s="2" t="s">
        <v>166</v>
      </c>
      <c r="B136" t="s">
        <v>48</v>
      </c>
      <c r="C136" s="19">
        <f>G19</f>
        <v>7.5999999999999998E-2</v>
      </c>
      <c r="D136" s="8" t="e">
        <f>Encarregado!$C$136*D150</f>
        <v>#REF!</v>
      </c>
    </row>
    <row r="137" spans="1:4" x14ac:dyDescent="0.25">
      <c r="A137" s="2" t="s">
        <v>167</v>
      </c>
      <c r="B137" t="s">
        <v>50</v>
      </c>
      <c r="C137" s="19">
        <f>G20</f>
        <v>0.05</v>
      </c>
      <c r="D137" s="8" t="e">
        <f>Encarregado!$C$137*D150</f>
        <v>#REF!</v>
      </c>
    </row>
    <row r="138" spans="1:4" x14ac:dyDescent="0.25">
      <c r="A138" s="2" t="s">
        <v>44</v>
      </c>
      <c r="C138" s="2"/>
      <c r="D138" s="8" t="e">
        <f>SUM(D132:D134)</f>
        <v>#REF!</v>
      </c>
    </row>
    <row r="139" spans="1:4" x14ac:dyDescent="0.25">
      <c r="A139" s="2"/>
      <c r="C139" s="2"/>
      <c r="D139" s="8"/>
    </row>
    <row r="141" spans="1:4" x14ac:dyDescent="0.25">
      <c r="A141" s="285" t="s">
        <v>168</v>
      </c>
      <c r="B141" s="285"/>
      <c r="C141" s="285"/>
      <c r="D141" s="285"/>
    </row>
    <row r="142" spans="1:4" x14ac:dyDescent="0.25">
      <c r="A142" s="2" t="s">
        <v>2</v>
      </c>
      <c r="B142" s="2" t="s">
        <v>169</v>
      </c>
      <c r="C142" s="2" t="s">
        <v>95</v>
      </c>
      <c r="D142" s="2" t="s">
        <v>5</v>
      </c>
    </row>
    <row r="143" spans="1:4" x14ac:dyDescent="0.25">
      <c r="A143" s="2" t="s">
        <v>28</v>
      </c>
      <c r="B143" t="s">
        <v>22</v>
      </c>
      <c r="D143" s="8">
        <f>Encarregado!$D$17</f>
        <v>1406.74</v>
      </c>
    </row>
    <row r="144" spans="1:4" x14ac:dyDescent="0.25">
      <c r="A144" s="2" t="s">
        <v>31</v>
      </c>
      <c r="B144" t="s">
        <v>47</v>
      </c>
      <c r="D144" s="8">
        <f>Encarregado!$D$66</f>
        <v>1091.7003999999999</v>
      </c>
    </row>
    <row r="145" spans="1:4" x14ac:dyDescent="0.25">
      <c r="A145" s="2" t="s">
        <v>34</v>
      </c>
      <c r="B145" t="s">
        <v>101</v>
      </c>
      <c r="D145" s="8">
        <f>Encarregado!$D$76</f>
        <v>215.150136388889</v>
      </c>
    </row>
    <row r="146" spans="1:4" x14ac:dyDescent="0.25">
      <c r="A146" s="2" t="s">
        <v>36</v>
      </c>
      <c r="B146" t="s">
        <v>170</v>
      </c>
      <c r="D146" s="8">
        <f>Encarregado!$D$113</f>
        <v>231.42233864645553</v>
      </c>
    </row>
    <row r="147" spans="1:4" x14ac:dyDescent="0.25">
      <c r="A147" s="2" t="s">
        <v>39</v>
      </c>
      <c r="B147" t="s">
        <v>148</v>
      </c>
      <c r="D147" s="8" t="e">
        <f>Encarregado!$D$121</f>
        <v>#REF!</v>
      </c>
    </row>
    <row r="148" spans="1:4" x14ac:dyDescent="0.25">
      <c r="A148" t="s">
        <v>171</v>
      </c>
      <c r="D148" s="8" t="e">
        <f>SUM(D143:D147)</f>
        <v>#REF!</v>
      </c>
    </row>
    <row r="149" spans="1:4" x14ac:dyDescent="0.25">
      <c r="A149" s="2" t="s">
        <v>41</v>
      </c>
      <c r="B149" t="s">
        <v>160</v>
      </c>
      <c r="D149" s="8" t="e">
        <f>Encarregado!$D$138</f>
        <v>#REF!</v>
      </c>
    </row>
    <row r="150" spans="1:4" x14ac:dyDescent="0.25">
      <c r="A150" s="23" t="s">
        <v>172</v>
      </c>
      <c r="B150" s="23"/>
      <c r="C150" s="23"/>
      <c r="D150" s="24" t="e">
        <f>(SUM(D143:D147)+D132+D133)/(100%-C134)</f>
        <v>#REF!</v>
      </c>
    </row>
  </sheetData>
  <mergeCells count="25">
    <mergeCell ref="A109:D109"/>
    <mergeCell ref="A115:D115"/>
    <mergeCell ref="A123:D123"/>
    <mergeCell ref="A130:D130"/>
    <mergeCell ref="A141:D141"/>
    <mergeCell ref="A78:D78"/>
    <mergeCell ref="A87:D87"/>
    <mergeCell ref="A88:D88"/>
    <mergeCell ref="A98:D98"/>
    <mergeCell ref="A104:D104"/>
    <mergeCell ref="A43:D43"/>
    <mergeCell ref="A47:D47"/>
    <mergeCell ref="A56:D56"/>
    <mergeCell ref="A61:D61"/>
    <mergeCell ref="A68:D68"/>
    <mergeCell ref="A19:D19"/>
    <mergeCell ref="A20:D20"/>
    <mergeCell ref="F22:G22"/>
    <mergeCell ref="A26:D26"/>
    <mergeCell ref="A31:D31"/>
    <mergeCell ref="A1:D1"/>
    <mergeCell ref="F1:G1"/>
    <mergeCell ref="F8:G8"/>
    <mergeCell ref="A9:D9"/>
    <mergeCell ref="F14:G14"/>
  </mergeCells>
  <pageMargins left="0.7" right="0.7" top="0.75" bottom="0.75" header="0.511811023622047" footer="0.511811023622047"/>
  <pageSetup paperSize="9" orientation="portrait" horizontalDpi="300" verticalDpi="300"/>
  <legacyDrawing r:id="rId1"/>
  <tableParts count="23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2"/>
  <sheetViews>
    <sheetView zoomScale="84" zoomScaleNormal="84" workbookViewId="0">
      <selection activeCell="J8" sqref="J8"/>
    </sheetView>
  </sheetViews>
  <sheetFormatPr defaultColWidth="8.5703125" defaultRowHeight="15" x14ac:dyDescent="0.25"/>
  <cols>
    <col min="1" max="1" width="5.5703125" customWidth="1"/>
    <col min="2" max="2" width="16.140625" customWidth="1"/>
    <col min="3" max="3" width="49.5703125" customWidth="1"/>
    <col min="4" max="4" width="18.42578125" customWidth="1"/>
    <col min="5" max="5" width="15.7109375" customWidth="1"/>
    <col min="6" max="6" width="23" customWidth="1"/>
    <col min="7" max="7" width="16.42578125" customWidth="1"/>
    <col min="8" max="8" width="16.140625" customWidth="1"/>
    <col min="10" max="10" width="11.28515625" customWidth="1"/>
    <col min="14" max="14" width="12.7109375" customWidth="1"/>
  </cols>
  <sheetData>
    <row r="1" spans="1:14" x14ac:dyDescent="0.25">
      <c r="A1" s="289" t="s">
        <v>174</v>
      </c>
      <c r="B1" s="289"/>
      <c r="C1" s="289"/>
      <c r="D1" s="289"/>
      <c r="E1" s="289"/>
      <c r="F1" s="289"/>
      <c r="G1" s="289"/>
      <c r="H1" s="289"/>
    </row>
    <row r="2" spans="1:14" ht="60.75" customHeight="1" x14ac:dyDescent="0.25">
      <c r="A2" s="25" t="s">
        <v>175</v>
      </c>
      <c r="B2" s="25" t="s">
        <v>176</v>
      </c>
      <c r="C2" s="25" t="s">
        <v>177</v>
      </c>
      <c r="D2" s="25" t="s">
        <v>178</v>
      </c>
      <c r="E2" s="25" t="s">
        <v>179</v>
      </c>
      <c r="F2" s="25" t="s">
        <v>180</v>
      </c>
      <c r="G2" s="25" t="s">
        <v>181</v>
      </c>
      <c r="H2" s="26" t="s">
        <v>182</v>
      </c>
    </row>
    <row r="3" spans="1:14" x14ac:dyDescent="0.25">
      <c r="A3" s="27">
        <v>1</v>
      </c>
      <c r="B3" s="113">
        <v>5380</v>
      </c>
      <c r="C3" s="28" t="s">
        <v>184</v>
      </c>
      <c r="D3" s="29" t="s">
        <v>185</v>
      </c>
      <c r="E3" s="30">
        <v>12</v>
      </c>
      <c r="F3" s="31">
        <v>1</v>
      </c>
      <c r="G3" s="32">
        <f>Psicopedagogo!D114</f>
        <v>4315.8986130974154</v>
      </c>
      <c r="H3" s="33">
        <f>+G3*E3</f>
        <v>51790.783357168984</v>
      </c>
      <c r="J3" s="11"/>
    </row>
    <row r="4" spans="1:14" x14ac:dyDescent="0.25">
      <c r="A4" s="106">
        <v>2</v>
      </c>
      <c r="B4" s="114">
        <v>5380</v>
      </c>
      <c r="C4" s="107" t="s">
        <v>187</v>
      </c>
      <c r="D4" s="108" t="s">
        <v>185</v>
      </c>
      <c r="E4" s="109">
        <v>12</v>
      </c>
      <c r="F4" s="110">
        <v>2</v>
      </c>
      <c r="G4" s="111">
        <f>Cuidador!D115</f>
        <v>7377.3133435310165</v>
      </c>
      <c r="H4" s="112">
        <f>+G4*E4</f>
        <v>88527.760122372201</v>
      </c>
      <c r="J4" s="34"/>
    </row>
    <row r="5" spans="1:14" x14ac:dyDescent="0.25">
      <c r="A5" s="27">
        <v>3</v>
      </c>
      <c r="B5" s="113">
        <v>5380</v>
      </c>
      <c r="C5" s="28" t="s">
        <v>288</v>
      </c>
      <c r="D5" s="28" t="s">
        <v>185</v>
      </c>
      <c r="E5" s="28">
        <v>12</v>
      </c>
      <c r="F5" s="31">
        <v>7</v>
      </c>
      <c r="G5" s="32">
        <f>Apoio!D115</f>
        <v>21438.156822388752</v>
      </c>
      <c r="H5" s="112">
        <f>+G5*E5</f>
        <v>257257.88186866502</v>
      </c>
      <c r="J5" s="34"/>
    </row>
    <row r="6" spans="1:14" ht="31.5" customHeight="1" x14ac:dyDescent="0.25">
      <c r="A6" s="106">
        <v>4</v>
      </c>
      <c r="B6" s="114">
        <v>25194</v>
      </c>
      <c r="C6" s="115" t="s">
        <v>289</v>
      </c>
      <c r="D6" s="108" t="s">
        <v>290</v>
      </c>
      <c r="E6" s="109">
        <v>12</v>
      </c>
      <c r="F6" s="110">
        <v>7</v>
      </c>
      <c r="G6" s="111">
        <f>Áreas!I11</f>
        <v>22089.843019345102</v>
      </c>
      <c r="H6" s="112">
        <f>+G6*E6</f>
        <v>265078.11623214121</v>
      </c>
      <c r="J6" s="34"/>
    </row>
    <row r="7" spans="1:14" x14ac:dyDescent="0.25">
      <c r="A7" s="116">
        <v>5</v>
      </c>
      <c r="B7" s="117">
        <v>438635</v>
      </c>
      <c r="C7" s="118" t="s">
        <v>372</v>
      </c>
      <c r="D7" s="119" t="s">
        <v>427</v>
      </c>
      <c r="E7" s="120">
        <v>12</v>
      </c>
      <c r="F7" s="121" t="s">
        <v>95</v>
      </c>
      <c r="G7" s="122">
        <f>'Materiais e Equipamentos'!F81</f>
        <v>8566.9253435966639</v>
      </c>
      <c r="H7" s="112">
        <f>+G7*E7</f>
        <v>102803.10412315997</v>
      </c>
      <c r="J7" s="34"/>
    </row>
    <row r="8" spans="1:14" ht="22.5" customHeight="1" x14ac:dyDescent="0.25">
      <c r="A8" s="35"/>
      <c r="B8" s="36"/>
      <c r="C8" s="36" t="s">
        <v>188</v>
      </c>
      <c r="D8" s="36"/>
      <c r="E8" s="36"/>
      <c r="F8" s="36"/>
      <c r="G8" s="36"/>
      <c r="H8" s="37">
        <f>SUM(H3:H7)</f>
        <v>765457.64570350735</v>
      </c>
      <c r="J8" s="11"/>
      <c r="N8" s="11"/>
    </row>
    <row r="9" spans="1:14" ht="20.25" customHeight="1" x14ac:dyDescent="0.25">
      <c r="A9" s="35"/>
      <c r="B9" s="36"/>
      <c r="C9" s="36" t="s">
        <v>189</v>
      </c>
      <c r="D9" s="36"/>
      <c r="E9" s="36"/>
      <c r="F9" s="36"/>
      <c r="G9" s="36"/>
      <c r="H9" s="37">
        <f>+H8/12</f>
        <v>63788.137141958949</v>
      </c>
    </row>
    <row r="10" spans="1:14" x14ac:dyDescent="0.25">
      <c r="A10" s="38"/>
      <c r="B10" s="38"/>
    </row>
    <row r="11" spans="1:14" x14ac:dyDescent="0.25">
      <c r="C11" s="11"/>
      <c r="F11" s="11"/>
    </row>
    <row r="12" spans="1:14" ht="60.75" customHeight="1" x14ac:dyDescent="0.25">
      <c r="C12" s="11"/>
      <c r="F12" s="11"/>
      <c r="N12" s="11"/>
    </row>
    <row r="13" spans="1:14" x14ac:dyDescent="0.25">
      <c r="C13" s="11"/>
      <c r="F13" s="11"/>
    </row>
    <row r="14" spans="1:14" x14ac:dyDescent="0.25">
      <c r="C14" s="11"/>
      <c r="F14" s="11"/>
      <c r="K14" s="11"/>
    </row>
    <row r="15" spans="1:14" x14ac:dyDescent="0.25">
      <c r="C15" s="11"/>
      <c r="F15" s="11"/>
      <c r="K15" s="11"/>
    </row>
    <row r="16" spans="1:14" ht="32.25" customHeight="1" x14ac:dyDescent="0.25">
      <c r="C16" s="11"/>
      <c r="F16" s="11"/>
      <c r="K16" s="11"/>
    </row>
    <row r="17" spans="3:17" x14ac:dyDescent="0.25">
      <c r="C17" s="11"/>
      <c r="F17" s="11"/>
      <c r="K17" s="11"/>
    </row>
    <row r="18" spans="3:17" x14ac:dyDescent="0.25">
      <c r="C18" s="11"/>
      <c r="F18" s="11"/>
    </row>
    <row r="19" spans="3:17" x14ac:dyDescent="0.25">
      <c r="C19" s="11"/>
      <c r="F19" s="11"/>
    </row>
    <row r="20" spans="3:17" x14ac:dyDescent="0.25">
      <c r="C20" s="11"/>
      <c r="F20" s="11"/>
    </row>
    <row r="21" spans="3:17" x14ac:dyDescent="0.25">
      <c r="C21" s="11"/>
      <c r="F21" s="11"/>
      <c r="Q21">
        <v>2</v>
      </c>
    </row>
    <row r="22" spans="3:17" x14ac:dyDescent="0.25">
      <c r="C22" s="11"/>
      <c r="F22" s="11"/>
    </row>
  </sheetData>
  <mergeCells count="1">
    <mergeCell ref="A1:H1"/>
  </mergeCells>
  <pageMargins left="0.51180555555555596" right="0.51180555555555596" top="0.78749999999999998" bottom="0.78749999999999998" header="0.511811023622047" footer="0.511811023622047"/>
  <pageSetup paperSize="9" scale="83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14"/>
  <sheetViews>
    <sheetView topLeftCell="A85" zoomScale="140" zoomScaleNormal="140" workbookViewId="0">
      <selection activeCell="D93" sqref="D93:E93"/>
    </sheetView>
  </sheetViews>
  <sheetFormatPr defaultColWidth="9.140625" defaultRowHeight="11.25" x14ac:dyDescent="0.2"/>
  <cols>
    <col min="1" max="1" width="3.140625" style="50" customWidth="1"/>
    <col min="2" max="2" width="55.42578125" style="50" customWidth="1"/>
    <col min="3" max="3" width="8.7109375" style="50" customWidth="1"/>
    <col min="4" max="4" width="12.7109375" style="50" customWidth="1"/>
    <col min="5" max="5" width="13.7109375" style="50" customWidth="1"/>
    <col min="6" max="6" width="9.140625" style="50"/>
    <col min="7" max="7" width="5.28515625" style="50" customWidth="1"/>
    <col min="8" max="8" width="11.140625" style="50" customWidth="1"/>
    <col min="9" max="16384" width="9.140625" style="50"/>
  </cols>
  <sheetData>
    <row r="1" spans="1:9" ht="12" customHeight="1" x14ac:dyDescent="0.2">
      <c r="A1" s="44"/>
      <c r="B1" s="290"/>
      <c r="C1" s="290"/>
      <c r="D1" s="290"/>
      <c r="E1" s="290"/>
      <c r="F1" s="44"/>
      <c r="G1" s="44"/>
      <c r="H1" s="44"/>
      <c r="I1" s="44"/>
    </row>
    <row r="2" spans="1:9" ht="12" customHeight="1" x14ac:dyDescent="0.2">
      <c r="A2" s="44"/>
      <c r="B2" s="291" t="s">
        <v>190</v>
      </c>
      <c r="C2" s="291"/>
      <c r="D2" s="291"/>
      <c r="E2" s="291"/>
      <c r="F2" s="44"/>
      <c r="G2" s="44"/>
      <c r="H2" s="44"/>
      <c r="I2" s="44"/>
    </row>
    <row r="3" spans="1:9" ht="12" customHeight="1" x14ac:dyDescent="0.2">
      <c r="A3" s="54" t="s">
        <v>28</v>
      </c>
      <c r="B3" s="55" t="s">
        <v>191</v>
      </c>
      <c r="C3" s="56"/>
      <c r="D3" s="292" t="s">
        <v>443</v>
      </c>
      <c r="E3" s="292"/>
      <c r="F3" s="44"/>
      <c r="G3" s="44"/>
      <c r="H3" s="44"/>
      <c r="I3" s="44"/>
    </row>
    <row r="4" spans="1:9" ht="12" customHeight="1" x14ac:dyDescent="0.2">
      <c r="A4" s="54" t="s">
        <v>31</v>
      </c>
      <c r="B4" s="293" t="s">
        <v>192</v>
      </c>
      <c r="C4" s="293"/>
      <c r="D4" s="294" t="s">
        <v>193</v>
      </c>
      <c r="E4" s="294"/>
      <c r="F4" s="44"/>
      <c r="G4" s="44"/>
      <c r="H4" s="44"/>
      <c r="I4" s="44"/>
    </row>
    <row r="5" spans="1:9" ht="12" customHeight="1" x14ac:dyDescent="0.2">
      <c r="A5" s="54" t="s">
        <v>34</v>
      </c>
      <c r="B5" s="57" t="s">
        <v>194</v>
      </c>
      <c r="C5" s="58"/>
      <c r="D5" s="294" t="s">
        <v>195</v>
      </c>
      <c r="E5" s="294"/>
      <c r="F5" s="44"/>
      <c r="G5" s="44"/>
      <c r="H5" s="44"/>
      <c r="I5" s="44"/>
    </row>
    <row r="6" spans="1:9" ht="12" customHeight="1" x14ac:dyDescent="0.2">
      <c r="A6" s="54" t="s">
        <v>36</v>
      </c>
      <c r="B6" s="293" t="s">
        <v>196</v>
      </c>
      <c r="C6" s="293"/>
      <c r="D6" s="295" t="s">
        <v>197</v>
      </c>
      <c r="E6" s="295"/>
      <c r="F6" s="44"/>
      <c r="G6" s="44"/>
      <c r="H6" s="44"/>
      <c r="I6" s="44"/>
    </row>
    <row r="7" spans="1:9" ht="12" customHeight="1" x14ac:dyDescent="0.2">
      <c r="A7" s="44"/>
      <c r="B7" s="296"/>
      <c r="C7" s="296"/>
      <c r="D7" s="296"/>
      <c r="E7" s="296"/>
      <c r="F7" s="44"/>
      <c r="G7" s="44"/>
      <c r="H7" s="44"/>
      <c r="I7" s="44"/>
    </row>
    <row r="8" spans="1:9" ht="12" customHeight="1" x14ac:dyDescent="0.2">
      <c r="A8" s="44"/>
      <c r="B8" s="297" t="s">
        <v>198</v>
      </c>
      <c r="C8" s="297"/>
      <c r="D8" s="297"/>
      <c r="E8" s="297"/>
      <c r="F8" s="46"/>
      <c r="G8" s="44"/>
      <c r="H8" s="44"/>
      <c r="I8" s="44"/>
    </row>
    <row r="9" spans="1:9" ht="23.25" customHeight="1" x14ac:dyDescent="0.2">
      <c r="A9" s="44"/>
      <c r="B9" s="59" t="s">
        <v>199</v>
      </c>
      <c r="C9" s="59" t="s">
        <v>200</v>
      </c>
      <c r="D9" s="59" t="s">
        <v>19</v>
      </c>
      <c r="E9" s="60" t="s">
        <v>201</v>
      </c>
      <c r="F9" s="44"/>
      <c r="G9" s="44"/>
      <c r="H9" s="44"/>
      <c r="I9" s="44"/>
    </row>
    <row r="10" spans="1:9" ht="12" customHeight="1" x14ac:dyDescent="0.2">
      <c r="A10" s="44"/>
      <c r="B10" s="298" t="s">
        <v>202</v>
      </c>
      <c r="C10" s="298" t="s">
        <v>183</v>
      </c>
      <c r="D10" s="299">
        <v>44562</v>
      </c>
      <c r="E10" s="298">
        <v>1</v>
      </c>
      <c r="F10" s="44"/>
      <c r="G10" s="44"/>
      <c r="H10" s="44"/>
      <c r="I10" s="44"/>
    </row>
    <row r="11" spans="1:9" ht="8.25" customHeight="1" x14ac:dyDescent="0.2">
      <c r="A11" s="44"/>
      <c r="B11" s="298"/>
      <c r="C11" s="298"/>
      <c r="D11" s="298"/>
      <c r="E11" s="298"/>
      <c r="F11" s="44"/>
      <c r="G11" s="44"/>
      <c r="H11" s="44"/>
      <c r="I11" s="44"/>
    </row>
    <row r="12" spans="1:9" ht="12" customHeight="1" x14ac:dyDescent="0.2">
      <c r="A12" s="44"/>
      <c r="B12" s="300" t="s">
        <v>203</v>
      </c>
      <c r="C12" s="300"/>
      <c r="D12" s="301">
        <v>1840.92</v>
      </c>
      <c r="E12" s="301"/>
      <c r="F12" s="44"/>
      <c r="G12" s="44"/>
      <c r="H12" s="44"/>
      <c r="I12" s="44"/>
    </row>
    <row r="13" spans="1:9" ht="12" customHeight="1" x14ac:dyDescent="0.2">
      <c r="A13" s="44"/>
      <c r="B13" s="302" t="s">
        <v>204</v>
      </c>
      <c r="C13" s="302"/>
      <c r="D13" s="302"/>
      <c r="E13" s="302"/>
      <c r="F13" s="44"/>
      <c r="G13" s="44"/>
      <c r="H13" s="44"/>
      <c r="I13" s="44"/>
    </row>
    <row r="14" spans="1:9" ht="12" customHeight="1" x14ac:dyDescent="0.2">
      <c r="A14" s="44"/>
      <c r="B14" s="302"/>
      <c r="C14" s="302"/>
      <c r="D14" s="302"/>
      <c r="E14" s="302"/>
      <c r="F14" s="44"/>
      <c r="G14" s="44"/>
      <c r="H14" s="44"/>
      <c r="I14" s="44"/>
    </row>
    <row r="15" spans="1:9" ht="12" customHeight="1" x14ac:dyDescent="0.2">
      <c r="A15" s="44"/>
      <c r="B15" s="303" t="s">
        <v>205</v>
      </c>
      <c r="C15" s="303"/>
      <c r="D15" s="304" t="s">
        <v>206</v>
      </c>
      <c r="E15" s="304"/>
      <c r="F15" s="44"/>
      <c r="G15" s="44"/>
      <c r="H15" s="44"/>
      <c r="I15" s="44"/>
    </row>
    <row r="16" spans="1:9" ht="12" customHeight="1" x14ac:dyDescent="0.2">
      <c r="A16" s="54" t="s">
        <v>28</v>
      </c>
      <c r="B16" s="305" t="s">
        <v>207</v>
      </c>
      <c r="C16" s="305"/>
      <c r="D16" s="306">
        <f>+D12</f>
        <v>1840.92</v>
      </c>
      <c r="E16" s="306"/>
      <c r="F16" s="44"/>
      <c r="G16" s="44"/>
      <c r="H16" s="44"/>
      <c r="I16" s="44"/>
    </row>
    <row r="17" spans="1:9" ht="12" customHeight="1" x14ac:dyDescent="0.2">
      <c r="A17" s="54" t="s">
        <v>31</v>
      </c>
      <c r="B17" s="305" t="s">
        <v>208</v>
      </c>
      <c r="C17" s="305"/>
      <c r="D17" s="307">
        <v>0</v>
      </c>
      <c r="E17" s="307"/>
      <c r="F17" s="44"/>
      <c r="G17" s="44"/>
      <c r="H17" s="44"/>
      <c r="I17" s="44"/>
    </row>
    <row r="18" spans="1:9" ht="12" customHeight="1" x14ac:dyDescent="0.2">
      <c r="A18" s="54" t="s">
        <v>34</v>
      </c>
      <c r="B18" s="305" t="s">
        <v>209</v>
      </c>
      <c r="C18" s="305"/>
      <c r="D18" s="307">
        <v>0</v>
      </c>
      <c r="E18" s="307"/>
      <c r="F18" s="44"/>
      <c r="G18" s="44"/>
      <c r="H18" s="44"/>
      <c r="I18" s="44"/>
    </row>
    <row r="19" spans="1:9" ht="12" customHeight="1" x14ac:dyDescent="0.2">
      <c r="A19" s="54" t="s">
        <v>36</v>
      </c>
      <c r="B19" s="305" t="s">
        <v>210</v>
      </c>
      <c r="C19" s="305"/>
      <c r="D19" s="307">
        <v>0</v>
      </c>
      <c r="E19" s="307"/>
      <c r="F19" s="44"/>
      <c r="G19" s="44"/>
      <c r="H19" s="44"/>
      <c r="I19" s="44"/>
    </row>
    <row r="20" spans="1:9" ht="12" customHeight="1" x14ac:dyDescent="0.2">
      <c r="A20" s="54" t="s">
        <v>39</v>
      </c>
      <c r="B20" s="305" t="s">
        <v>40</v>
      </c>
      <c r="C20" s="305"/>
      <c r="D20" s="307">
        <v>0</v>
      </c>
      <c r="E20" s="307"/>
      <c r="F20" s="44"/>
      <c r="G20" s="44"/>
      <c r="H20" s="44"/>
      <c r="I20" s="44"/>
    </row>
    <row r="21" spans="1:9" ht="12" customHeight="1" x14ac:dyDescent="0.2">
      <c r="A21" s="54" t="s">
        <v>41</v>
      </c>
      <c r="B21" s="305" t="s">
        <v>42</v>
      </c>
      <c r="C21" s="305"/>
      <c r="D21" s="307">
        <v>0</v>
      </c>
      <c r="E21" s="307"/>
      <c r="F21" s="44"/>
      <c r="G21" s="44"/>
      <c r="H21" s="44"/>
      <c r="I21" s="44"/>
    </row>
    <row r="22" spans="1:9" ht="12" customHeight="1" x14ac:dyDescent="0.2">
      <c r="A22" s="44"/>
      <c r="B22" s="61" t="s">
        <v>211</v>
      </c>
      <c r="C22" s="62"/>
      <c r="D22" s="308">
        <f>SUM(D16:E21)</f>
        <v>1840.92</v>
      </c>
      <c r="E22" s="308"/>
      <c r="F22" s="44"/>
      <c r="G22" s="44"/>
      <c r="H22" s="44"/>
      <c r="I22" s="44"/>
    </row>
    <row r="23" spans="1:9" ht="12" customHeight="1" x14ac:dyDescent="0.2">
      <c r="A23" s="44"/>
      <c r="B23" s="302" t="s">
        <v>212</v>
      </c>
      <c r="C23" s="302"/>
      <c r="D23" s="302"/>
      <c r="E23" s="302"/>
      <c r="F23" s="44"/>
      <c r="G23" s="44"/>
      <c r="H23" s="44"/>
      <c r="I23" s="44"/>
    </row>
    <row r="24" spans="1:9" ht="12" customHeight="1" x14ac:dyDescent="0.2">
      <c r="A24" s="44"/>
      <c r="B24" s="302"/>
      <c r="C24" s="302"/>
      <c r="D24" s="302"/>
      <c r="E24" s="302"/>
      <c r="F24" s="44"/>
      <c r="G24" s="44"/>
      <c r="H24" s="44"/>
      <c r="I24" s="44"/>
    </row>
    <row r="25" spans="1:9" ht="12" customHeight="1" x14ac:dyDescent="0.2">
      <c r="A25" s="44"/>
      <c r="B25" s="302" t="s">
        <v>213</v>
      </c>
      <c r="C25" s="302"/>
      <c r="D25" s="302"/>
      <c r="E25" s="302"/>
      <c r="F25" s="44"/>
      <c r="G25" s="44"/>
      <c r="H25" s="44"/>
      <c r="I25" s="44"/>
    </row>
    <row r="26" spans="1:9" ht="12" customHeight="1" x14ac:dyDescent="0.2">
      <c r="A26" s="44"/>
      <c r="B26" s="57" t="s">
        <v>214</v>
      </c>
      <c r="C26" s="58"/>
      <c r="D26" s="304" t="s">
        <v>206</v>
      </c>
      <c r="E26" s="304"/>
      <c r="F26" s="44"/>
      <c r="G26" s="44"/>
      <c r="H26" s="44"/>
      <c r="I26" s="44"/>
    </row>
    <row r="27" spans="1:9" ht="12" customHeight="1" x14ac:dyDescent="0.2">
      <c r="A27" s="54" t="s">
        <v>28</v>
      </c>
      <c r="B27" s="63" t="s">
        <v>53</v>
      </c>
      <c r="C27" s="64">
        <v>8.3299999999999999E-2</v>
      </c>
      <c r="D27" s="306">
        <f>(D22*C27)</f>
        <v>153.348636</v>
      </c>
      <c r="E27" s="306"/>
      <c r="F27" s="44"/>
      <c r="G27" s="44"/>
      <c r="H27" s="44"/>
      <c r="I27" s="44"/>
    </row>
    <row r="28" spans="1:9" ht="12" customHeight="1" x14ac:dyDescent="0.2">
      <c r="A28" s="54" t="s">
        <v>31</v>
      </c>
      <c r="B28" s="65" t="s">
        <v>215</v>
      </c>
      <c r="C28" s="64">
        <v>0.121</v>
      </c>
      <c r="D28" s="306">
        <f>(D22*C28)</f>
        <v>222.75131999999999</v>
      </c>
      <c r="E28" s="306"/>
      <c r="F28" s="44"/>
      <c r="G28" s="44"/>
      <c r="H28" s="44"/>
      <c r="I28" s="44"/>
    </row>
    <row r="29" spans="1:9" ht="12" customHeight="1" x14ac:dyDescent="0.2">
      <c r="A29" s="44"/>
      <c r="B29" s="61" t="s">
        <v>211</v>
      </c>
      <c r="C29" s="66">
        <f>SUM(C27:C28)</f>
        <v>0.20429999999999998</v>
      </c>
      <c r="D29" s="308">
        <f>SUM(D27:E28)</f>
        <v>376.09995600000002</v>
      </c>
      <c r="E29" s="308"/>
      <c r="F29" s="44"/>
      <c r="G29" s="44"/>
      <c r="H29" s="44"/>
      <c r="I29" s="44"/>
    </row>
    <row r="30" spans="1:9" ht="12" customHeight="1" x14ac:dyDescent="0.2">
      <c r="A30" s="44"/>
      <c r="B30" s="309" t="s">
        <v>216</v>
      </c>
      <c r="C30" s="309"/>
      <c r="D30" s="309"/>
      <c r="E30" s="309"/>
      <c r="F30" s="44"/>
      <c r="G30" s="44"/>
      <c r="H30" s="44"/>
      <c r="I30" s="44"/>
    </row>
    <row r="31" spans="1:9" ht="12" customHeight="1" x14ac:dyDescent="0.2">
      <c r="A31" s="44"/>
      <c r="B31" s="57" t="s">
        <v>217</v>
      </c>
      <c r="C31" s="58"/>
      <c r="D31" s="304" t="s">
        <v>206</v>
      </c>
      <c r="E31" s="304"/>
      <c r="F31" s="44"/>
      <c r="G31" s="44"/>
      <c r="H31" s="44"/>
      <c r="I31" s="44"/>
    </row>
    <row r="32" spans="1:9" ht="12" customHeight="1" x14ac:dyDescent="0.2">
      <c r="A32" s="54" t="s">
        <v>28</v>
      </c>
      <c r="B32" s="67" t="s">
        <v>70</v>
      </c>
      <c r="C32" s="64">
        <v>0.2</v>
      </c>
      <c r="D32" s="306">
        <f t="shared" ref="D32:D39" si="0">(C32*($D$22+$D$29))</f>
        <v>443.40399120000006</v>
      </c>
      <c r="E32" s="306"/>
      <c r="F32" s="44"/>
      <c r="G32" s="44"/>
      <c r="H32" s="44"/>
      <c r="I32" s="44"/>
    </row>
    <row r="33" spans="1:9" ht="12" customHeight="1" x14ac:dyDescent="0.2">
      <c r="A33" s="54" t="s">
        <v>31</v>
      </c>
      <c r="B33" s="67" t="s">
        <v>218</v>
      </c>
      <c r="C33" s="64">
        <v>1.4999999999999999E-2</v>
      </c>
      <c r="D33" s="306">
        <f t="shared" si="0"/>
        <v>33.255299340000001</v>
      </c>
      <c r="E33" s="306"/>
      <c r="F33" s="44"/>
      <c r="G33" s="44"/>
      <c r="H33" s="44"/>
      <c r="I33" s="44"/>
    </row>
    <row r="34" spans="1:9" ht="12" customHeight="1" x14ac:dyDescent="0.2">
      <c r="A34" s="54" t="s">
        <v>34</v>
      </c>
      <c r="B34" s="67" t="s">
        <v>219</v>
      </c>
      <c r="C34" s="64">
        <v>0.01</v>
      </c>
      <c r="D34" s="306">
        <f t="shared" si="0"/>
        <v>22.17019956</v>
      </c>
      <c r="E34" s="306"/>
    </row>
    <row r="35" spans="1:9" ht="12" customHeight="1" x14ac:dyDescent="0.2">
      <c r="A35" s="54" t="s">
        <v>36</v>
      </c>
      <c r="B35" s="67" t="s">
        <v>77</v>
      </c>
      <c r="C35" s="64">
        <v>2E-3</v>
      </c>
      <c r="D35" s="306">
        <f t="shared" si="0"/>
        <v>4.4340399120000002</v>
      </c>
      <c r="E35" s="306"/>
    </row>
    <row r="36" spans="1:9" ht="12" customHeight="1" x14ac:dyDescent="0.2">
      <c r="A36" s="54" t="s">
        <v>39</v>
      </c>
      <c r="B36" s="67" t="s">
        <v>71</v>
      </c>
      <c r="C36" s="64">
        <v>2.5000000000000001E-2</v>
      </c>
      <c r="D36" s="306">
        <f t="shared" si="0"/>
        <v>55.425498900000008</v>
      </c>
      <c r="E36" s="306"/>
      <c r="F36" s="44"/>
      <c r="G36" s="44"/>
      <c r="H36" s="44"/>
      <c r="I36" s="44"/>
    </row>
    <row r="37" spans="1:9" ht="12" customHeight="1" x14ac:dyDescent="0.2">
      <c r="A37" s="54" t="s">
        <v>41</v>
      </c>
      <c r="B37" s="67" t="s">
        <v>79</v>
      </c>
      <c r="C37" s="64">
        <v>0.08</v>
      </c>
      <c r="D37" s="306">
        <f t="shared" si="0"/>
        <v>177.36159648</v>
      </c>
      <c r="E37" s="306"/>
      <c r="F37" s="44"/>
      <c r="G37" s="44"/>
      <c r="H37" s="44"/>
      <c r="I37" s="44"/>
    </row>
    <row r="38" spans="1:9" ht="12" customHeight="1" x14ac:dyDescent="0.2">
      <c r="A38" s="54" t="s">
        <v>76</v>
      </c>
      <c r="B38" s="67" t="s">
        <v>220</v>
      </c>
      <c r="C38" s="64">
        <v>0.03</v>
      </c>
      <c r="D38" s="306">
        <f t="shared" si="0"/>
        <v>66.510598680000001</v>
      </c>
      <c r="E38" s="306"/>
      <c r="F38" s="44"/>
      <c r="G38" s="44"/>
      <c r="H38" s="44"/>
      <c r="I38" s="44"/>
    </row>
    <row r="39" spans="1:9" ht="12" customHeight="1" x14ac:dyDescent="0.2">
      <c r="A39" s="54" t="s">
        <v>78</v>
      </c>
      <c r="B39" s="67" t="s">
        <v>75</v>
      </c>
      <c r="C39" s="64">
        <v>6.0000000000000001E-3</v>
      </c>
      <c r="D39" s="306">
        <f t="shared" si="0"/>
        <v>13.302119736000002</v>
      </c>
      <c r="E39" s="306"/>
      <c r="F39" s="44"/>
      <c r="G39" s="44"/>
      <c r="H39" s="44"/>
      <c r="I39" s="44"/>
    </row>
    <row r="40" spans="1:9" ht="12" customHeight="1" x14ac:dyDescent="0.2">
      <c r="A40" s="44"/>
      <c r="B40" s="61" t="s">
        <v>211</v>
      </c>
      <c r="C40" s="66">
        <f>SUM(C32:C39)</f>
        <v>0.3680000000000001</v>
      </c>
      <c r="D40" s="308">
        <f>SUM(D32:E39)</f>
        <v>815.8633438080002</v>
      </c>
      <c r="E40" s="308"/>
    </row>
    <row r="41" spans="1:9" ht="12" customHeight="1" x14ac:dyDescent="0.2">
      <c r="A41" s="44"/>
      <c r="B41" s="302" t="s">
        <v>221</v>
      </c>
      <c r="C41" s="302"/>
      <c r="D41" s="302"/>
      <c r="E41" s="302"/>
      <c r="F41" s="44"/>
      <c r="G41" s="44"/>
      <c r="H41" s="44"/>
      <c r="I41" s="44"/>
    </row>
    <row r="42" spans="1:9" ht="12" customHeight="1" x14ac:dyDescent="0.2">
      <c r="A42" s="44"/>
      <c r="B42" s="57" t="s">
        <v>222</v>
      </c>
      <c r="C42" s="58"/>
      <c r="D42" s="304" t="s">
        <v>206</v>
      </c>
      <c r="E42" s="304"/>
      <c r="F42" s="44"/>
      <c r="G42" s="44"/>
      <c r="H42" s="44"/>
      <c r="I42" s="44"/>
    </row>
    <row r="43" spans="1:9" ht="12" customHeight="1" x14ac:dyDescent="0.2">
      <c r="A43" s="54" t="s">
        <v>28</v>
      </c>
      <c r="B43" s="63" t="s">
        <v>87</v>
      </c>
      <c r="C43" s="68"/>
      <c r="D43" s="307">
        <v>0</v>
      </c>
      <c r="E43" s="307"/>
      <c r="F43" s="44"/>
      <c r="G43" s="44" t="s">
        <v>282</v>
      </c>
      <c r="H43" s="44"/>
      <c r="I43" s="44"/>
    </row>
    <row r="44" spans="1:9" ht="12" customHeight="1" x14ac:dyDescent="0.2">
      <c r="A44" s="54" t="s">
        <v>31</v>
      </c>
      <c r="B44" s="63" t="s">
        <v>88</v>
      </c>
      <c r="C44" s="68"/>
      <c r="D44" s="307">
        <v>460</v>
      </c>
      <c r="E44" s="307"/>
      <c r="F44" s="48"/>
      <c r="G44" s="44"/>
      <c r="H44" s="44"/>
      <c r="I44" s="44"/>
    </row>
    <row r="45" spans="1:9" ht="12" customHeight="1" x14ac:dyDescent="0.2">
      <c r="A45" s="54" t="s">
        <v>34</v>
      </c>
      <c r="B45" s="69" t="s">
        <v>225</v>
      </c>
      <c r="C45" s="68"/>
      <c r="D45" s="307">
        <v>0</v>
      </c>
      <c r="E45" s="307"/>
      <c r="F45" s="48"/>
      <c r="G45" s="44"/>
      <c r="H45" s="44"/>
      <c r="I45" s="44"/>
    </row>
    <row r="46" spans="1:9" ht="12" customHeight="1" x14ac:dyDescent="0.2">
      <c r="A46" s="54" t="s">
        <v>36</v>
      </c>
      <c r="B46" s="69" t="s">
        <v>92</v>
      </c>
      <c r="C46" s="68"/>
      <c r="D46" s="307">
        <v>20</v>
      </c>
      <c r="E46" s="307"/>
      <c r="F46" s="48"/>
      <c r="G46" s="310" t="s">
        <v>226</v>
      </c>
      <c r="H46" s="310"/>
      <c r="I46" s="310"/>
    </row>
    <row r="47" spans="1:9" ht="12" customHeight="1" x14ac:dyDescent="0.2">
      <c r="A47" s="54" t="s">
        <v>39</v>
      </c>
      <c r="B47" s="69" t="s">
        <v>227</v>
      </c>
      <c r="C47" s="68"/>
      <c r="D47" s="307">
        <v>5</v>
      </c>
      <c r="E47" s="307"/>
      <c r="F47" s="48"/>
      <c r="G47" s="41" t="s">
        <v>223</v>
      </c>
      <c r="H47" s="41" t="s">
        <v>278</v>
      </c>
      <c r="I47" s="41" t="s">
        <v>224</v>
      </c>
    </row>
    <row r="48" spans="1:9" ht="12" customHeight="1" x14ac:dyDescent="0.2">
      <c r="A48" s="54" t="s">
        <v>41</v>
      </c>
      <c r="B48" s="69" t="s">
        <v>228</v>
      </c>
      <c r="C48" s="70"/>
      <c r="D48" s="307">
        <v>40</v>
      </c>
      <c r="E48" s="307"/>
      <c r="F48" s="48"/>
      <c r="G48" s="41">
        <v>22</v>
      </c>
      <c r="H48" s="43">
        <v>20.91</v>
      </c>
      <c r="I48" s="43">
        <f>460</f>
        <v>460</v>
      </c>
    </row>
    <row r="49" spans="1:9" ht="12" customHeight="1" x14ac:dyDescent="0.2">
      <c r="A49" s="44"/>
      <c r="B49" s="61" t="s">
        <v>229</v>
      </c>
      <c r="C49" s="71"/>
      <c r="D49" s="308">
        <f>SUM(D43:E48)</f>
        <v>525</v>
      </c>
      <c r="E49" s="308"/>
      <c r="F49" s="48"/>
      <c r="G49" s="44"/>
      <c r="H49" s="44"/>
      <c r="I49" s="44"/>
    </row>
    <row r="50" spans="1:9" ht="12" customHeight="1" x14ac:dyDescent="0.2">
      <c r="A50" s="44"/>
      <c r="B50" s="302" t="s">
        <v>98</v>
      </c>
      <c r="C50" s="302"/>
      <c r="D50" s="302"/>
      <c r="E50" s="302"/>
      <c r="F50" s="48"/>
      <c r="G50" s="44"/>
      <c r="H50" s="44"/>
      <c r="I50" s="44"/>
    </row>
    <row r="51" spans="1:9" ht="12" customHeight="1" x14ac:dyDescent="0.2">
      <c r="A51" s="44"/>
      <c r="B51" s="55" t="s">
        <v>230</v>
      </c>
      <c r="C51" s="72"/>
      <c r="D51" s="304" t="s">
        <v>206</v>
      </c>
      <c r="E51" s="304"/>
      <c r="F51" s="48"/>
      <c r="G51" s="44"/>
      <c r="H51" s="44"/>
      <c r="I51" s="44"/>
    </row>
    <row r="52" spans="1:9" ht="12" customHeight="1" x14ac:dyDescent="0.2">
      <c r="A52" s="54" t="s">
        <v>51</v>
      </c>
      <c r="B52" s="311" t="s">
        <v>231</v>
      </c>
      <c r="C52" s="311"/>
      <c r="D52" s="307">
        <f>+D29</f>
        <v>376.09995600000002</v>
      </c>
      <c r="E52" s="307"/>
      <c r="F52" s="44"/>
      <c r="G52" s="44"/>
      <c r="H52" s="44"/>
      <c r="I52" s="44"/>
    </row>
    <row r="53" spans="1:9" ht="12" customHeight="1" x14ac:dyDescent="0.2">
      <c r="A53" s="54" t="s">
        <v>67</v>
      </c>
      <c r="B53" s="311" t="s">
        <v>68</v>
      </c>
      <c r="C53" s="311"/>
      <c r="D53" s="307">
        <f>+D40</f>
        <v>815.8633438080002</v>
      </c>
      <c r="E53" s="307"/>
      <c r="F53" s="44"/>
      <c r="G53" s="44"/>
      <c r="H53" s="44"/>
      <c r="I53" s="44"/>
    </row>
    <row r="54" spans="1:9" ht="12" customHeight="1" x14ac:dyDescent="0.2">
      <c r="A54" s="54" t="s">
        <v>85</v>
      </c>
      <c r="B54" s="311" t="s">
        <v>86</v>
      </c>
      <c r="C54" s="311"/>
      <c r="D54" s="307">
        <f>+D49</f>
        <v>525</v>
      </c>
      <c r="E54" s="307"/>
      <c r="F54" s="44"/>
      <c r="G54" s="44"/>
      <c r="H54" s="44"/>
      <c r="I54" s="44"/>
    </row>
    <row r="55" spans="1:9" ht="12" customHeight="1" x14ac:dyDescent="0.2">
      <c r="A55" s="44"/>
      <c r="B55" s="312" t="s">
        <v>211</v>
      </c>
      <c r="C55" s="312"/>
      <c r="D55" s="308">
        <f>SUM(D52:E54)</f>
        <v>1716.9632998080001</v>
      </c>
      <c r="E55" s="308"/>
      <c r="F55" s="44"/>
      <c r="G55" s="44"/>
      <c r="H55" s="44"/>
      <c r="I55" s="44"/>
    </row>
    <row r="56" spans="1:9" ht="12" customHeight="1" x14ac:dyDescent="0.2">
      <c r="A56" s="44"/>
      <c r="B56" s="313" t="s">
        <v>232</v>
      </c>
      <c r="C56" s="313"/>
      <c r="D56" s="313"/>
      <c r="E56" s="313"/>
      <c r="F56" s="44"/>
      <c r="G56" s="44"/>
      <c r="H56" s="44"/>
      <c r="I56" s="44"/>
    </row>
    <row r="57" spans="1:9" ht="12" customHeight="1" x14ac:dyDescent="0.2">
      <c r="B57" s="314"/>
      <c r="C57" s="314"/>
      <c r="D57" s="314"/>
      <c r="E57" s="314"/>
      <c r="F57" s="44"/>
      <c r="G57" s="44"/>
      <c r="H57" s="44"/>
      <c r="I57" s="44"/>
    </row>
    <row r="58" spans="1:9" ht="12" customHeight="1" x14ac:dyDescent="0.2">
      <c r="A58" s="44"/>
      <c r="B58" s="55" t="s">
        <v>233</v>
      </c>
      <c r="C58" s="72"/>
      <c r="D58" s="304" t="s">
        <v>206</v>
      </c>
      <c r="E58" s="304"/>
    </row>
    <row r="59" spans="1:9" ht="12" customHeight="1" x14ac:dyDescent="0.2">
      <c r="A59" s="54" t="s">
        <v>28</v>
      </c>
      <c r="B59" s="73" t="s">
        <v>104</v>
      </c>
      <c r="C59" s="74">
        <v>4.1999999999999997E-3</v>
      </c>
      <c r="D59" s="306">
        <f t="shared" ref="D59:D64" si="1">C59*$D$22</f>
        <v>7.7318639999999998</v>
      </c>
      <c r="E59" s="306"/>
      <c r="F59" s="44"/>
      <c r="G59" s="44"/>
      <c r="H59" s="44"/>
      <c r="I59" s="44"/>
    </row>
    <row r="60" spans="1:9" ht="12" customHeight="1" x14ac:dyDescent="0.2">
      <c r="A60" s="54" t="s">
        <v>31</v>
      </c>
      <c r="B60" s="73" t="s">
        <v>234</v>
      </c>
      <c r="C60" s="74">
        <f>C59*C37</f>
        <v>3.3599999999999998E-4</v>
      </c>
      <c r="D60" s="306">
        <f t="shared" si="1"/>
        <v>0.61854911999999995</v>
      </c>
      <c r="E60" s="306"/>
      <c r="F60" s="44"/>
      <c r="G60" s="44"/>
      <c r="H60" s="44"/>
      <c r="I60" s="44"/>
    </row>
    <row r="61" spans="1:9" ht="12" customHeight="1" x14ac:dyDescent="0.2">
      <c r="A61" s="54" t="s">
        <v>34</v>
      </c>
      <c r="B61" s="73" t="s">
        <v>235</v>
      </c>
      <c r="C61" s="75">
        <v>1.6000000000000001E-3</v>
      </c>
      <c r="D61" s="306">
        <f t="shared" si="1"/>
        <v>2.9454720000000001</v>
      </c>
      <c r="E61" s="306"/>
      <c r="F61" s="44"/>
      <c r="G61" s="44"/>
      <c r="H61" s="44"/>
      <c r="I61" s="44"/>
    </row>
    <row r="62" spans="1:9" ht="12" customHeight="1" x14ac:dyDescent="0.2">
      <c r="A62" s="54" t="s">
        <v>36</v>
      </c>
      <c r="B62" s="73" t="s">
        <v>236</v>
      </c>
      <c r="C62" s="75">
        <v>1.8499999999999999E-2</v>
      </c>
      <c r="D62" s="306">
        <f t="shared" si="1"/>
        <v>34.057020000000001</v>
      </c>
      <c r="E62" s="306"/>
      <c r="F62" s="44"/>
      <c r="G62" s="44"/>
      <c r="H62" s="51"/>
      <c r="I62" s="44"/>
    </row>
    <row r="63" spans="1:9" ht="12" customHeight="1" x14ac:dyDescent="0.2">
      <c r="A63" s="54" t="s">
        <v>39</v>
      </c>
      <c r="B63" s="73" t="s">
        <v>237</v>
      </c>
      <c r="C63" s="74">
        <v>6.8999999999999999E-3</v>
      </c>
      <c r="D63" s="306">
        <f t="shared" si="1"/>
        <v>12.702348000000001</v>
      </c>
      <c r="E63" s="306"/>
      <c r="F63" s="44"/>
      <c r="G63" s="44"/>
      <c r="H63" s="44"/>
      <c r="I63" s="44"/>
    </row>
    <row r="64" spans="1:9" ht="12" customHeight="1" x14ac:dyDescent="0.2">
      <c r="A64" s="54" t="s">
        <v>41</v>
      </c>
      <c r="B64" s="73" t="s">
        <v>108</v>
      </c>
      <c r="C64" s="75">
        <v>3.04E-2</v>
      </c>
      <c r="D64" s="306">
        <f t="shared" si="1"/>
        <v>55.963968000000001</v>
      </c>
      <c r="E64" s="306"/>
      <c r="F64" s="44"/>
      <c r="G64" s="44"/>
      <c r="H64" s="44"/>
      <c r="I64" s="44"/>
    </row>
    <row r="65" spans="1:9" ht="12" customHeight="1" x14ac:dyDescent="0.2">
      <c r="A65" s="44"/>
      <c r="B65" s="76" t="s">
        <v>229</v>
      </c>
      <c r="C65" s="77">
        <f>TRUNC(SUM(C59:C64),8)</f>
        <v>6.1935999999999998E-2</v>
      </c>
      <c r="D65" s="308">
        <f>SUM(D59:E64)</f>
        <v>114.01922112</v>
      </c>
      <c r="E65" s="308"/>
      <c r="F65" s="44"/>
      <c r="G65" s="44"/>
      <c r="H65" s="44"/>
      <c r="I65" s="44"/>
    </row>
    <row r="66" spans="1:9" ht="12" customHeight="1" x14ac:dyDescent="0.2">
      <c r="A66" s="44"/>
      <c r="B66" s="313" t="s">
        <v>238</v>
      </c>
      <c r="C66" s="313"/>
      <c r="D66" s="313"/>
      <c r="E66" s="313"/>
      <c r="F66" s="44"/>
      <c r="G66" s="44"/>
      <c r="H66" s="44"/>
      <c r="I66" s="44"/>
    </row>
    <row r="67" spans="1:9" ht="12" customHeight="1" x14ac:dyDescent="0.2">
      <c r="A67" s="44"/>
      <c r="B67" s="313"/>
      <c r="C67" s="313"/>
      <c r="D67" s="313"/>
      <c r="E67" s="313"/>
      <c r="F67" s="44"/>
      <c r="G67" s="44"/>
      <c r="H67" s="44"/>
      <c r="I67" s="44"/>
    </row>
    <row r="68" spans="1:9" ht="12" customHeight="1" x14ac:dyDescent="0.2">
      <c r="A68" s="44"/>
      <c r="B68" s="313" t="s">
        <v>121</v>
      </c>
      <c r="C68" s="313"/>
      <c r="D68" s="313"/>
      <c r="E68" s="313"/>
      <c r="F68" s="44"/>
      <c r="G68" s="44"/>
      <c r="H68" s="44"/>
      <c r="I68" s="44"/>
    </row>
    <row r="69" spans="1:9" ht="12" customHeight="1" x14ac:dyDescent="0.2">
      <c r="A69" s="44"/>
      <c r="B69" s="55" t="s">
        <v>239</v>
      </c>
      <c r="C69" s="72"/>
      <c r="D69" s="304" t="s">
        <v>206</v>
      </c>
      <c r="E69" s="304"/>
      <c r="F69" s="48"/>
      <c r="G69" s="44"/>
      <c r="H69" s="48"/>
      <c r="I69" s="44"/>
    </row>
    <row r="70" spans="1:9" ht="12" customHeight="1" x14ac:dyDescent="0.2">
      <c r="A70" s="54" t="s">
        <v>28</v>
      </c>
      <c r="B70" s="78" t="s">
        <v>125</v>
      </c>
      <c r="C70" s="94">
        <v>1.6199999999999999E-2</v>
      </c>
      <c r="D70" s="306">
        <f>C70*(D65+D55+D22)</f>
        <v>59.484820839033603</v>
      </c>
      <c r="E70" s="306"/>
      <c r="F70" s="44"/>
      <c r="G70" s="44"/>
      <c r="H70" s="48"/>
      <c r="I70" s="44"/>
    </row>
    <row r="71" spans="1:9" ht="12" customHeight="1" x14ac:dyDescent="0.2">
      <c r="A71" s="54" t="s">
        <v>31</v>
      </c>
      <c r="B71" s="78" t="s">
        <v>126</v>
      </c>
      <c r="C71" s="74">
        <v>5.5999999999999999E-3</v>
      </c>
      <c r="D71" s="306">
        <f>C71*(D65+D55+D22)</f>
        <v>20.5626541171968</v>
      </c>
      <c r="E71" s="306"/>
      <c r="F71" s="44"/>
      <c r="G71" s="44"/>
      <c r="H71" s="48"/>
      <c r="I71" s="44"/>
    </row>
    <row r="72" spans="1:9" ht="12" customHeight="1" x14ac:dyDescent="0.2">
      <c r="A72" s="54" t="s">
        <v>34</v>
      </c>
      <c r="B72" s="78" t="s">
        <v>127</v>
      </c>
      <c r="C72" s="74">
        <v>2.9999999999999997E-4</v>
      </c>
      <c r="D72" s="306">
        <f>C72*(D65+D55+D22)</f>
        <v>1.1015707562784001</v>
      </c>
      <c r="E72" s="306"/>
      <c r="F72" s="44"/>
      <c r="G72" s="44"/>
      <c r="H72" s="48"/>
      <c r="I72" s="44"/>
    </row>
    <row r="73" spans="1:9" ht="12" customHeight="1" x14ac:dyDescent="0.2">
      <c r="A73" s="54" t="s">
        <v>36</v>
      </c>
      <c r="B73" s="78" t="s">
        <v>128</v>
      </c>
      <c r="C73" s="74">
        <v>3.3E-3</v>
      </c>
      <c r="D73" s="306">
        <f>C73*(D65+D55+D22)</f>
        <v>12.1172783190624</v>
      </c>
      <c r="E73" s="306"/>
      <c r="F73" s="44"/>
      <c r="G73" s="44"/>
      <c r="H73" s="48"/>
      <c r="I73" s="44"/>
    </row>
    <row r="74" spans="1:9" ht="12" customHeight="1" x14ac:dyDescent="0.2">
      <c r="A74" s="54" t="s">
        <v>39</v>
      </c>
      <c r="B74" s="78" t="s">
        <v>129</v>
      </c>
      <c r="C74" s="74">
        <v>1.1000000000000001E-3</v>
      </c>
      <c r="D74" s="306">
        <f>C74*(D65+D55+D22)</f>
        <v>4.0390927730208004</v>
      </c>
      <c r="E74" s="306"/>
      <c r="F74" s="44"/>
      <c r="G74" s="44"/>
      <c r="H74" s="48"/>
      <c r="I74" s="44"/>
    </row>
    <row r="75" spans="1:9" ht="12" customHeight="1" x14ac:dyDescent="0.2">
      <c r="A75" s="54" t="s">
        <v>41</v>
      </c>
      <c r="B75" s="78" t="s">
        <v>240</v>
      </c>
      <c r="C75" s="74">
        <v>0</v>
      </c>
      <c r="D75" s="306">
        <f>C75*$D$22</f>
        <v>0</v>
      </c>
      <c r="E75" s="306"/>
      <c r="F75" s="44"/>
      <c r="G75" s="44"/>
      <c r="H75" s="48"/>
      <c r="I75" s="44"/>
    </row>
    <row r="76" spans="1:9" ht="12" customHeight="1" x14ac:dyDescent="0.2">
      <c r="A76" s="44"/>
      <c r="B76" s="76" t="s">
        <v>211</v>
      </c>
      <c r="C76" s="82">
        <f>SUM(C70:C75)</f>
        <v>2.6500000000000003E-2</v>
      </c>
      <c r="D76" s="308">
        <f>SUM(D70:E75)</f>
        <v>97.305416804591999</v>
      </c>
      <c r="E76" s="308"/>
      <c r="F76" s="44"/>
      <c r="G76" s="44"/>
      <c r="H76" s="48"/>
      <c r="I76" s="44"/>
    </row>
    <row r="77" spans="1:9" ht="12" customHeight="1" x14ac:dyDescent="0.2">
      <c r="A77" s="44"/>
      <c r="B77" s="314"/>
      <c r="C77" s="314"/>
      <c r="D77" s="314"/>
      <c r="E77" s="314"/>
      <c r="F77" s="44"/>
      <c r="G77" s="44"/>
      <c r="H77" s="48"/>
      <c r="I77" s="44"/>
    </row>
    <row r="78" spans="1:9" ht="12" customHeight="1" x14ac:dyDescent="0.2">
      <c r="A78" s="44"/>
      <c r="B78" s="55" t="s">
        <v>241</v>
      </c>
      <c r="C78" s="72"/>
      <c r="D78" s="304" t="s">
        <v>206</v>
      </c>
      <c r="E78" s="304"/>
      <c r="F78" s="44"/>
      <c r="G78" s="44"/>
      <c r="H78" s="44"/>
      <c r="I78" s="44"/>
    </row>
    <row r="79" spans="1:9" ht="12" customHeight="1" x14ac:dyDescent="0.2">
      <c r="A79" s="54" t="s">
        <v>28</v>
      </c>
      <c r="B79" s="81" t="s">
        <v>143</v>
      </c>
      <c r="C79" s="74">
        <v>0</v>
      </c>
      <c r="D79" s="315">
        <f>TRUNC(C79*$D$22,2)</f>
        <v>0</v>
      </c>
      <c r="E79" s="315"/>
      <c r="F79" s="44"/>
      <c r="G79" s="44"/>
      <c r="H79" s="44"/>
      <c r="I79" s="44"/>
    </row>
    <row r="80" spans="1:9" ht="12" customHeight="1" x14ac:dyDescent="0.2">
      <c r="A80" s="44"/>
      <c r="B80" s="76" t="s">
        <v>211</v>
      </c>
      <c r="C80" s="82">
        <f>SUM(C79:C79)</f>
        <v>0</v>
      </c>
      <c r="D80" s="308">
        <f>SUM(D79:E79)</f>
        <v>0</v>
      </c>
      <c r="E80" s="308"/>
      <c r="F80" s="44"/>
      <c r="G80" s="44"/>
      <c r="H80" s="44"/>
      <c r="I80" s="44"/>
    </row>
    <row r="81" spans="1:9" ht="12" customHeight="1" x14ac:dyDescent="0.2">
      <c r="A81" s="44"/>
      <c r="B81" s="313" t="s">
        <v>144</v>
      </c>
      <c r="C81" s="313"/>
      <c r="D81" s="313"/>
      <c r="E81" s="313"/>
      <c r="F81" s="44"/>
      <c r="G81" s="44"/>
      <c r="H81" s="44"/>
      <c r="I81" s="44"/>
    </row>
    <row r="82" spans="1:9" ht="12" customHeight="1" x14ac:dyDescent="0.2">
      <c r="A82" s="44"/>
      <c r="B82" s="55" t="s">
        <v>242</v>
      </c>
      <c r="C82" s="72"/>
      <c r="D82" s="304" t="s">
        <v>206</v>
      </c>
      <c r="E82" s="304"/>
      <c r="F82" s="44"/>
      <c r="G82" s="44"/>
      <c r="H82" s="44"/>
      <c r="I82" s="44"/>
    </row>
    <row r="83" spans="1:9" ht="12" customHeight="1" x14ac:dyDescent="0.2">
      <c r="A83" s="54" t="s">
        <v>122</v>
      </c>
      <c r="B83" s="316" t="s">
        <v>123</v>
      </c>
      <c r="C83" s="316"/>
      <c r="D83" s="306">
        <f>D76</f>
        <v>97.305416804591999</v>
      </c>
      <c r="E83" s="306"/>
      <c r="F83" s="44"/>
      <c r="G83" s="44"/>
      <c r="H83" s="44"/>
      <c r="I83" s="44"/>
    </row>
    <row r="84" spans="1:9" ht="12" customHeight="1" x14ac:dyDescent="0.2">
      <c r="A84" s="54" t="s">
        <v>141</v>
      </c>
      <c r="B84" s="316" t="s">
        <v>147</v>
      </c>
      <c r="C84" s="316"/>
      <c r="D84" s="306">
        <f>D80</f>
        <v>0</v>
      </c>
      <c r="E84" s="306"/>
      <c r="F84" s="44"/>
      <c r="G84" s="44"/>
      <c r="H84" s="44"/>
      <c r="I84" s="44"/>
    </row>
    <row r="85" spans="1:9" ht="12" customHeight="1" x14ac:dyDescent="0.2">
      <c r="A85" s="44"/>
      <c r="B85" s="312" t="s">
        <v>229</v>
      </c>
      <c r="C85" s="312"/>
      <c r="D85" s="308">
        <f>SUM(D83:E84)</f>
        <v>97.305416804591999</v>
      </c>
      <c r="E85" s="308"/>
      <c r="F85" s="44"/>
      <c r="G85" s="44"/>
      <c r="H85" s="44"/>
      <c r="I85" s="44"/>
    </row>
    <row r="86" spans="1:9" ht="12" customHeight="1" x14ac:dyDescent="0.2">
      <c r="A86" s="44"/>
      <c r="B86" s="313" t="s">
        <v>243</v>
      </c>
      <c r="C86" s="313"/>
      <c r="D86" s="313"/>
      <c r="E86" s="313"/>
      <c r="F86" s="44"/>
      <c r="G86" s="44"/>
      <c r="H86" s="44"/>
      <c r="I86" s="44"/>
    </row>
    <row r="87" spans="1:9" ht="12" customHeight="1" x14ac:dyDescent="0.2">
      <c r="A87" s="44"/>
      <c r="B87" s="313"/>
      <c r="C87" s="313"/>
      <c r="D87" s="313"/>
      <c r="E87" s="313"/>
      <c r="F87" s="44"/>
      <c r="G87" s="44"/>
      <c r="H87" s="44"/>
      <c r="I87" s="44"/>
    </row>
    <row r="88" spans="1:9" ht="12" customHeight="1" x14ac:dyDescent="0.2">
      <c r="A88" s="44"/>
      <c r="B88" s="57" t="s">
        <v>244</v>
      </c>
      <c r="C88" s="58"/>
      <c r="D88" s="304" t="s">
        <v>206</v>
      </c>
      <c r="E88" s="304"/>
      <c r="F88" s="44"/>
      <c r="G88" s="44"/>
      <c r="H88" s="44"/>
      <c r="I88" s="44"/>
    </row>
    <row r="89" spans="1:9" ht="12" customHeight="1" x14ac:dyDescent="0.2">
      <c r="A89" s="54" t="s">
        <v>28</v>
      </c>
      <c r="B89" s="63" t="s">
        <v>151</v>
      </c>
      <c r="C89" s="68"/>
      <c r="D89" s="307">
        <f>Uniformes!F9</f>
        <v>20.153500000000001</v>
      </c>
      <c r="E89" s="307"/>
      <c r="F89" s="44"/>
      <c r="G89" s="44"/>
      <c r="H89" s="44"/>
      <c r="I89" s="44"/>
    </row>
    <row r="90" spans="1:9" ht="12" customHeight="1" x14ac:dyDescent="0.2">
      <c r="A90" s="54" t="s">
        <v>31</v>
      </c>
      <c r="B90" s="63" t="s">
        <v>152</v>
      </c>
      <c r="C90" s="68"/>
      <c r="D90" s="307">
        <v>0</v>
      </c>
      <c r="E90" s="307"/>
      <c r="F90" s="44"/>
      <c r="G90" s="44"/>
      <c r="H90" s="44"/>
      <c r="I90" s="44"/>
    </row>
    <row r="91" spans="1:9" ht="12" customHeight="1" x14ac:dyDescent="0.2">
      <c r="A91" s="54" t="s">
        <v>34</v>
      </c>
      <c r="B91" s="63" t="s">
        <v>153</v>
      </c>
      <c r="C91" s="68"/>
      <c r="D91" s="307">
        <v>0</v>
      </c>
      <c r="E91" s="307"/>
      <c r="F91" s="44"/>
      <c r="G91" s="44"/>
      <c r="H91" s="44"/>
      <c r="I91" s="44"/>
    </row>
    <row r="92" spans="1:9" ht="12" customHeight="1" x14ac:dyDescent="0.2">
      <c r="A92" s="54" t="s">
        <v>36</v>
      </c>
      <c r="B92" s="69" t="s">
        <v>287</v>
      </c>
      <c r="C92" s="68"/>
      <c r="D92" s="307">
        <f>'Relógio Ponto'!F10</f>
        <v>0.11701580882352942</v>
      </c>
      <c r="E92" s="307"/>
      <c r="F92" s="44"/>
      <c r="G92" s="44"/>
      <c r="H92" s="44"/>
      <c r="I92" s="44"/>
    </row>
    <row r="93" spans="1:9" ht="12" customHeight="1" x14ac:dyDescent="0.2">
      <c r="A93" s="44"/>
      <c r="B93" s="61" t="s">
        <v>245</v>
      </c>
      <c r="C93" s="71"/>
      <c r="D93" s="308">
        <f>SUM(D89:E92)</f>
        <v>20.270515808823532</v>
      </c>
      <c r="E93" s="308"/>
      <c r="F93" s="44"/>
      <c r="G93" s="44"/>
      <c r="H93" s="44"/>
      <c r="I93" s="44"/>
    </row>
    <row r="94" spans="1:9" ht="12" customHeight="1" x14ac:dyDescent="0.2">
      <c r="A94" s="44"/>
      <c r="B94" s="313" t="s">
        <v>246</v>
      </c>
      <c r="C94" s="313"/>
      <c r="D94" s="313"/>
      <c r="E94" s="313"/>
      <c r="F94" s="44"/>
      <c r="G94" s="44"/>
      <c r="H94" s="44"/>
      <c r="I94" s="44"/>
    </row>
    <row r="95" spans="1:9" ht="12" customHeight="1" x14ac:dyDescent="0.2">
      <c r="A95" s="44"/>
      <c r="B95" s="313"/>
      <c r="C95" s="313"/>
      <c r="D95" s="313"/>
      <c r="E95" s="313"/>
      <c r="F95" s="44"/>
      <c r="G95" s="44"/>
      <c r="H95" s="44"/>
      <c r="I95" s="44"/>
    </row>
    <row r="96" spans="1:9" ht="12" customHeight="1" x14ac:dyDescent="0.2">
      <c r="A96" s="44"/>
      <c r="B96" s="83" t="s">
        <v>247</v>
      </c>
      <c r="C96" s="57"/>
      <c r="D96" s="304" t="s">
        <v>206</v>
      </c>
      <c r="E96" s="304"/>
      <c r="F96" s="44"/>
      <c r="G96" s="44"/>
      <c r="H96" s="44"/>
      <c r="I96" s="44"/>
    </row>
    <row r="97" spans="1:9" ht="12" customHeight="1" x14ac:dyDescent="0.2">
      <c r="A97" s="54" t="s">
        <v>28</v>
      </c>
      <c r="B97" s="67" t="s">
        <v>248</v>
      </c>
      <c r="C97" s="84">
        <v>0.02</v>
      </c>
      <c r="D97" s="306">
        <f>C97*D112</f>
        <v>75.789569070828307</v>
      </c>
      <c r="E97" s="306"/>
      <c r="F97" s="44"/>
      <c r="G97" s="44"/>
      <c r="H97" s="44"/>
      <c r="I97" s="44"/>
    </row>
    <row r="98" spans="1:9" ht="12" customHeight="1" x14ac:dyDescent="0.2">
      <c r="A98" s="54" t="s">
        <v>31</v>
      </c>
      <c r="B98" s="67" t="s">
        <v>249</v>
      </c>
      <c r="C98" s="84">
        <v>0.02</v>
      </c>
      <c r="D98" s="306">
        <f>(D97+D112)*C98</f>
        <v>77.305360452244884</v>
      </c>
      <c r="E98" s="306"/>
      <c r="F98" s="44"/>
      <c r="G98" s="44"/>
      <c r="H98" s="44"/>
      <c r="I98" s="44"/>
    </row>
    <row r="99" spans="1:9" ht="12" customHeight="1" x14ac:dyDescent="0.2">
      <c r="A99" s="85" t="s">
        <v>34</v>
      </c>
      <c r="B99" s="86" t="s">
        <v>250</v>
      </c>
      <c r="C99" s="87"/>
      <c r="D99" s="317"/>
      <c r="E99" s="317"/>
      <c r="F99" s="44"/>
      <c r="G99" s="44"/>
      <c r="H99" s="44"/>
      <c r="I99" s="44"/>
    </row>
    <row r="100" spans="1:9" ht="12" customHeight="1" x14ac:dyDescent="0.2">
      <c r="A100" s="45"/>
      <c r="B100" s="88" t="s">
        <v>251</v>
      </c>
      <c r="C100" s="89">
        <v>0.05</v>
      </c>
      <c r="D100" s="306">
        <f>($D97+$D98+$D112)/(1-$C$103)*C100</f>
        <v>215.79493065487077</v>
      </c>
      <c r="E100" s="306"/>
      <c r="F100" s="45"/>
      <c r="G100" s="45"/>
      <c r="H100" s="45"/>
      <c r="I100" s="45"/>
    </row>
    <row r="101" spans="1:9" ht="12" customHeight="1" x14ac:dyDescent="0.2">
      <c r="A101" s="44"/>
      <c r="B101" s="90" t="s">
        <v>252</v>
      </c>
      <c r="C101" s="84">
        <v>0.03</v>
      </c>
      <c r="D101" s="306">
        <f>($D97+$D98+$D112)/(1-$C$103)*C101</f>
        <v>129.47695839292246</v>
      </c>
      <c r="E101" s="306"/>
      <c r="F101" s="44"/>
      <c r="G101" s="44"/>
      <c r="H101" s="44"/>
      <c r="I101" s="44"/>
    </row>
    <row r="102" spans="1:9" ht="12" customHeight="1" x14ac:dyDescent="0.2">
      <c r="A102" s="44"/>
      <c r="B102" s="90" t="s">
        <v>253</v>
      </c>
      <c r="C102" s="84">
        <v>6.4999999999999997E-3</v>
      </c>
      <c r="D102" s="306">
        <f>($D97+$D98+$D112)/(1-$C$103)*C102</f>
        <v>28.0533409851332</v>
      </c>
      <c r="E102" s="306"/>
      <c r="F102" s="44"/>
      <c r="G102" s="44"/>
      <c r="H102" s="44"/>
      <c r="I102" s="44"/>
    </row>
    <row r="103" spans="1:9" ht="12" customHeight="1" x14ac:dyDescent="0.2">
      <c r="A103" s="44"/>
      <c r="B103" s="85" t="s">
        <v>254</v>
      </c>
      <c r="C103" s="77">
        <f>TRUNC(SUM(C100:C102),8)</f>
        <v>8.6499999999999994E-2</v>
      </c>
      <c r="D103" s="308">
        <f>SUM(D97:E102)</f>
        <v>526.42015955599959</v>
      </c>
      <c r="E103" s="308"/>
      <c r="F103" s="44"/>
      <c r="G103" s="44"/>
      <c r="H103" s="44"/>
      <c r="I103" s="44"/>
    </row>
    <row r="104" spans="1:9" ht="12" customHeight="1" x14ac:dyDescent="0.2">
      <c r="A104" s="44"/>
      <c r="B104" s="302" t="s">
        <v>255</v>
      </c>
      <c r="C104" s="302"/>
      <c r="D104" s="302"/>
      <c r="E104" s="302"/>
      <c r="F104" s="44"/>
      <c r="G104" s="44"/>
      <c r="H104" s="44"/>
      <c r="I104" s="44"/>
    </row>
    <row r="105" spans="1:9" ht="12" customHeight="1" x14ac:dyDescent="0.2">
      <c r="A105" s="44"/>
      <c r="B105" s="302"/>
      <c r="C105" s="302"/>
      <c r="D105" s="302"/>
      <c r="E105" s="302"/>
      <c r="F105" s="44"/>
      <c r="G105" s="44"/>
      <c r="H105" s="44"/>
      <c r="I105" s="44"/>
    </row>
    <row r="106" spans="1:9" ht="12" customHeight="1" x14ac:dyDescent="0.2">
      <c r="A106" s="44"/>
      <c r="B106" s="303" t="s">
        <v>256</v>
      </c>
      <c r="C106" s="303"/>
      <c r="D106" s="304" t="s">
        <v>206</v>
      </c>
      <c r="E106" s="304"/>
      <c r="F106" s="44"/>
      <c r="G106" s="44"/>
      <c r="H106" s="44"/>
      <c r="I106" s="44"/>
    </row>
    <row r="107" spans="1:9" ht="12" customHeight="1" x14ac:dyDescent="0.2">
      <c r="A107" s="54" t="s">
        <v>28</v>
      </c>
      <c r="B107" s="319" t="s">
        <v>257</v>
      </c>
      <c r="C107" s="319"/>
      <c r="D107" s="307">
        <f>+D22</f>
        <v>1840.92</v>
      </c>
      <c r="E107" s="307"/>
      <c r="F107" s="44"/>
      <c r="G107" s="44"/>
      <c r="H107" s="44"/>
      <c r="I107" s="44"/>
    </row>
    <row r="108" spans="1:9" ht="12" customHeight="1" x14ac:dyDescent="0.2">
      <c r="A108" s="54" t="s">
        <v>31</v>
      </c>
      <c r="B108" s="319" t="s">
        <v>47</v>
      </c>
      <c r="C108" s="319"/>
      <c r="D108" s="307">
        <f>D55</f>
        <v>1716.9632998080001</v>
      </c>
      <c r="E108" s="307"/>
      <c r="F108" s="44"/>
      <c r="G108" s="44"/>
      <c r="H108" s="44"/>
      <c r="I108" s="44"/>
    </row>
    <row r="109" spans="1:9" ht="12" customHeight="1" x14ac:dyDescent="0.2">
      <c r="A109" s="54" t="s">
        <v>34</v>
      </c>
      <c r="B109" s="319" t="s">
        <v>101</v>
      </c>
      <c r="C109" s="319"/>
      <c r="D109" s="307">
        <f>D65</f>
        <v>114.01922112</v>
      </c>
      <c r="E109" s="307"/>
      <c r="F109" s="44"/>
      <c r="G109" s="44"/>
      <c r="H109" s="44"/>
      <c r="I109" s="44"/>
    </row>
    <row r="110" spans="1:9" ht="12" customHeight="1" x14ac:dyDescent="0.2">
      <c r="A110" s="91" t="s">
        <v>36</v>
      </c>
      <c r="B110" s="319" t="s">
        <v>170</v>
      </c>
      <c r="C110" s="319"/>
      <c r="D110" s="307">
        <f>D85</f>
        <v>97.305416804591999</v>
      </c>
      <c r="E110" s="307"/>
      <c r="F110" s="44"/>
      <c r="G110" s="44"/>
      <c r="H110" s="44"/>
      <c r="I110" s="44"/>
    </row>
    <row r="111" spans="1:9" ht="12" customHeight="1" x14ac:dyDescent="0.2">
      <c r="A111" s="92" t="s">
        <v>39</v>
      </c>
      <c r="B111" s="321" t="s">
        <v>148</v>
      </c>
      <c r="C111" s="321"/>
      <c r="D111" s="307">
        <f>D93</f>
        <v>20.270515808823532</v>
      </c>
      <c r="E111" s="307"/>
      <c r="F111" s="44"/>
      <c r="G111" s="44"/>
      <c r="H111" s="44"/>
      <c r="I111" s="44"/>
    </row>
    <row r="112" spans="1:9" ht="12" customHeight="1" x14ac:dyDescent="0.2">
      <c r="A112" s="44"/>
      <c r="B112" s="290" t="s">
        <v>258</v>
      </c>
      <c r="C112" s="290"/>
      <c r="D112" s="318">
        <f>SUM(D107:E111)</f>
        <v>3789.4784535414155</v>
      </c>
      <c r="E112" s="318"/>
      <c r="F112" s="44"/>
      <c r="G112" s="44"/>
      <c r="H112" s="44"/>
      <c r="I112" s="44"/>
    </row>
    <row r="113" spans="1:9" ht="12" customHeight="1" x14ac:dyDescent="0.2">
      <c r="A113" s="54" t="s">
        <v>41</v>
      </c>
      <c r="B113" s="319" t="s">
        <v>259</v>
      </c>
      <c r="C113" s="319"/>
      <c r="D113" s="306">
        <f>+D103</f>
        <v>526.42015955599959</v>
      </c>
      <c r="E113" s="306"/>
      <c r="F113" s="44"/>
      <c r="G113" s="44"/>
      <c r="H113" s="44"/>
      <c r="I113" s="44"/>
    </row>
    <row r="114" spans="1:9" ht="12" customHeight="1" x14ac:dyDescent="0.2">
      <c r="A114" s="44"/>
      <c r="B114" s="320" t="s">
        <v>260</v>
      </c>
      <c r="C114" s="320"/>
      <c r="D114" s="308">
        <f>+D112+D113</f>
        <v>4315.8986130974154</v>
      </c>
      <c r="E114" s="308"/>
      <c r="F114" s="44"/>
      <c r="G114" s="44"/>
      <c r="H114" s="52"/>
      <c r="I114" s="44"/>
    </row>
  </sheetData>
  <mergeCells count="142">
    <mergeCell ref="B114:C114"/>
    <mergeCell ref="D114:E114"/>
    <mergeCell ref="B107:C107"/>
    <mergeCell ref="D107:E107"/>
    <mergeCell ref="B108:C108"/>
    <mergeCell ref="D108:E108"/>
    <mergeCell ref="B109:C109"/>
    <mergeCell ref="D109:E109"/>
    <mergeCell ref="B110:C110"/>
    <mergeCell ref="D110:E110"/>
    <mergeCell ref="B111:C111"/>
    <mergeCell ref="D111:E111"/>
    <mergeCell ref="D102:E102"/>
    <mergeCell ref="D103:E103"/>
    <mergeCell ref="B104:E104"/>
    <mergeCell ref="B105:E105"/>
    <mergeCell ref="B106:C106"/>
    <mergeCell ref="D106:E106"/>
    <mergeCell ref="B112:C112"/>
    <mergeCell ref="D112:E112"/>
    <mergeCell ref="B113:C113"/>
    <mergeCell ref="D113:E113"/>
    <mergeCell ref="D93:E93"/>
    <mergeCell ref="B94:E94"/>
    <mergeCell ref="B95:E95"/>
    <mergeCell ref="D96:E96"/>
    <mergeCell ref="D97:E97"/>
    <mergeCell ref="D98:E98"/>
    <mergeCell ref="D99:E99"/>
    <mergeCell ref="D100:E100"/>
    <mergeCell ref="D101:E101"/>
    <mergeCell ref="B85:C85"/>
    <mergeCell ref="D85:E85"/>
    <mergeCell ref="B86:E86"/>
    <mergeCell ref="B87:E87"/>
    <mergeCell ref="D88:E88"/>
    <mergeCell ref="D89:E89"/>
    <mergeCell ref="D90:E90"/>
    <mergeCell ref="D91:E91"/>
    <mergeCell ref="D92:E92"/>
    <mergeCell ref="B77:E77"/>
    <mergeCell ref="D78:E78"/>
    <mergeCell ref="D79:E79"/>
    <mergeCell ref="D80:E80"/>
    <mergeCell ref="B81:E81"/>
    <mergeCell ref="D82:E82"/>
    <mergeCell ref="B83:C83"/>
    <mergeCell ref="D83:E83"/>
    <mergeCell ref="B84:C84"/>
    <mergeCell ref="D84:E84"/>
    <mergeCell ref="B68:E68"/>
    <mergeCell ref="D69:E69"/>
    <mergeCell ref="D70:E70"/>
    <mergeCell ref="D71:E71"/>
    <mergeCell ref="D72:E72"/>
    <mergeCell ref="D73:E73"/>
    <mergeCell ref="D74:E74"/>
    <mergeCell ref="D75:E75"/>
    <mergeCell ref="D76:E76"/>
    <mergeCell ref="D59:E59"/>
    <mergeCell ref="D60:E60"/>
    <mergeCell ref="D61:E61"/>
    <mergeCell ref="D62:E62"/>
    <mergeCell ref="D63:E63"/>
    <mergeCell ref="D64:E64"/>
    <mergeCell ref="D65:E65"/>
    <mergeCell ref="B66:E66"/>
    <mergeCell ref="B67:E67"/>
    <mergeCell ref="B53:C53"/>
    <mergeCell ref="D53:E53"/>
    <mergeCell ref="B54:C54"/>
    <mergeCell ref="D54:E54"/>
    <mergeCell ref="B55:C55"/>
    <mergeCell ref="D55:E55"/>
    <mergeCell ref="B56:E56"/>
    <mergeCell ref="B57:E57"/>
    <mergeCell ref="D58:E58"/>
    <mergeCell ref="D45:E45"/>
    <mergeCell ref="D46:E46"/>
    <mergeCell ref="G46:I46"/>
    <mergeCell ref="D47:E47"/>
    <mergeCell ref="D48:E48"/>
    <mergeCell ref="D49:E49"/>
    <mergeCell ref="B50:E50"/>
    <mergeCell ref="D51:E51"/>
    <mergeCell ref="B52:C52"/>
    <mergeCell ref="D52:E52"/>
    <mergeCell ref="D36:E36"/>
    <mergeCell ref="D37:E37"/>
    <mergeCell ref="D38:E38"/>
    <mergeCell ref="D39:E39"/>
    <mergeCell ref="D40:E40"/>
    <mergeCell ref="B41:E41"/>
    <mergeCell ref="D42:E42"/>
    <mergeCell ref="D43:E43"/>
    <mergeCell ref="D44:E44"/>
    <mergeCell ref="D27:E27"/>
    <mergeCell ref="D28:E28"/>
    <mergeCell ref="D29:E29"/>
    <mergeCell ref="B30:E30"/>
    <mergeCell ref="D31:E31"/>
    <mergeCell ref="D32:E32"/>
    <mergeCell ref="D33:E33"/>
    <mergeCell ref="D34:E34"/>
    <mergeCell ref="D35:E35"/>
    <mergeCell ref="B20:C20"/>
    <mergeCell ref="D20:E20"/>
    <mergeCell ref="B21:C21"/>
    <mergeCell ref="D21:E21"/>
    <mergeCell ref="D22:E22"/>
    <mergeCell ref="B23:E23"/>
    <mergeCell ref="B24:E24"/>
    <mergeCell ref="B25:E25"/>
    <mergeCell ref="D26:E26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8:E8"/>
    <mergeCell ref="B10:B11"/>
    <mergeCell ref="C10:C11"/>
    <mergeCell ref="D10:D11"/>
    <mergeCell ref="E10:E11"/>
    <mergeCell ref="B12:C12"/>
    <mergeCell ref="D12:E12"/>
    <mergeCell ref="B13:E13"/>
    <mergeCell ref="B14:E14"/>
    <mergeCell ref="B1:E1"/>
    <mergeCell ref="B2:E2"/>
    <mergeCell ref="D3:E3"/>
    <mergeCell ref="B4:C4"/>
    <mergeCell ref="D4:E4"/>
    <mergeCell ref="D5:E5"/>
    <mergeCell ref="B6:C6"/>
    <mergeCell ref="D6:E6"/>
    <mergeCell ref="B7:E7"/>
  </mergeCells>
  <pageMargins left="0.75" right="0.75" top="1" bottom="1" header="0.511811023622047" footer="0.511811023622047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15"/>
  <sheetViews>
    <sheetView topLeftCell="A85" zoomScale="140" zoomScaleNormal="140" workbookViewId="0">
      <selection activeCell="D93" sqref="D93:E93"/>
    </sheetView>
  </sheetViews>
  <sheetFormatPr defaultColWidth="9.140625" defaultRowHeight="15" x14ac:dyDescent="0.25"/>
  <cols>
    <col min="1" max="1" width="3.140625" customWidth="1"/>
    <col min="2" max="2" width="55.42578125" customWidth="1"/>
    <col min="3" max="3" width="8.7109375" customWidth="1"/>
    <col min="4" max="4" width="12.7109375" customWidth="1"/>
    <col min="5" max="5" width="13.7109375" customWidth="1"/>
    <col min="6" max="6" width="7.85546875" customWidth="1"/>
    <col min="7" max="7" width="6.28515625" customWidth="1"/>
    <col min="8" max="8" width="9.140625" customWidth="1"/>
    <col min="9" max="9" width="10.42578125" customWidth="1"/>
  </cols>
  <sheetData>
    <row r="1" spans="1:9" ht="11.25" customHeight="1" x14ac:dyDescent="0.25">
      <c r="A1" s="44"/>
      <c r="B1" s="290"/>
      <c r="C1" s="290"/>
      <c r="D1" s="290"/>
      <c r="E1" s="290"/>
      <c r="F1" s="44"/>
      <c r="G1" s="44"/>
      <c r="H1" s="44"/>
      <c r="I1" s="44"/>
    </row>
    <row r="2" spans="1:9" ht="12" customHeight="1" x14ac:dyDescent="0.25">
      <c r="A2" s="44"/>
      <c r="B2" s="291" t="s">
        <v>190</v>
      </c>
      <c r="C2" s="291"/>
      <c r="D2" s="291"/>
      <c r="E2" s="291"/>
      <c r="F2" s="44"/>
      <c r="G2" s="44"/>
      <c r="H2" s="44"/>
      <c r="I2" s="44"/>
    </row>
    <row r="3" spans="1:9" ht="12" customHeight="1" x14ac:dyDescent="0.25">
      <c r="A3" s="54" t="s">
        <v>28</v>
      </c>
      <c r="B3" s="55" t="s">
        <v>191</v>
      </c>
      <c r="C3" s="56"/>
      <c r="D3" s="292" t="s">
        <v>443</v>
      </c>
      <c r="E3" s="292"/>
      <c r="F3" s="44"/>
      <c r="G3" s="44"/>
      <c r="H3" s="44"/>
      <c r="I3" s="44"/>
    </row>
    <row r="4" spans="1:9" ht="12" customHeight="1" x14ac:dyDescent="0.25">
      <c r="A4" s="54" t="s">
        <v>31</v>
      </c>
      <c r="B4" s="293" t="s">
        <v>192</v>
      </c>
      <c r="C4" s="293"/>
      <c r="D4" s="294" t="s">
        <v>193</v>
      </c>
      <c r="E4" s="294"/>
      <c r="F4" s="44"/>
      <c r="G4" s="44"/>
      <c r="H4" s="44"/>
      <c r="I4" s="44"/>
    </row>
    <row r="5" spans="1:9" ht="12" customHeight="1" x14ac:dyDescent="0.25">
      <c r="A5" s="54" t="s">
        <v>34</v>
      </c>
      <c r="B5" s="57" t="s">
        <v>194</v>
      </c>
      <c r="C5" s="58"/>
      <c r="D5" s="294" t="s">
        <v>195</v>
      </c>
      <c r="E5" s="294"/>
      <c r="F5" s="44"/>
      <c r="G5" s="44"/>
      <c r="H5" s="44"/>
      <c r="I5" s="44"/>
    </row>
    <row r="6" spans="1:9" ht="12" customHeight="1" x14ac:dyDescent="0.25">
      <c r="A6" s="54" t="s">
        <v>36</v>
      </c>
      <c r="B6" s="293" t="s">
        <v>196</v>
      </c>
      <c r="C6" s="293"/>
      <c r="D6" s="295" t="s">
        <v>197</v>
      </c>
      <c r="E6" s="295"/>
      <c r="F6" s="44"/>
      <c r="G6" s="44"/>
      <c r="H6" s="44"/>
      <c r="I6" s="44"/>
    </row>
    <row r="7" spans="1:9" ht="9" customHeight="1" x14ac:dyDescent="0.25">
      <c r="A7" s="44"/>
      <c r="B7" s="296"/>
      <c r="C7" s="296"/>
      <c r="D7" s="296"/>
      <c r="E7" s="296"/>
      <c r="F7" s="44"/>
      <c r="G7" s="44"/>
      <c r="H7" s="44"/>
      <c r="I7" s="44"/>
    </row>
    <row r="8" spans="1:9" ht="12" customHeight="1" x14ac:dyDescent="0.25">
      <c r="A8" s="44"/>
      <c r="B8" s="297" t="s">
        <v>198</v>
      </c>
      <c r="C8" s="297"/>
      <c r="D8" s="297"/>
      <c r="E8" s="297"/>
      <c r="F8" s="46"/>
      <c r="G8" s="44"/>
      <c r="H8" s="44"/>
      <c r="I8" s="44"/>
    </row>
    <row r="9" spans="1:9" ht="21" customHeight="1" x14ac:dyDescent="0.25">
      <c r="A9" s="44"/>
      <c r="B9" s="59" t="s">
        <v>199</v>
      </c>
      <c r="C9" s="59" t="s">
        <v>200</v>
      </c>
      <c r="D9" s="59" t="s">
        <v>19</v>
      </c>
      <c r="E9" s="60" t="s">
        <v>201</v>
      </c>
      <c r="F9" s="44"/>
      <c r="G9" s="44"/>
      <c r="H9" s="44"/>
      <c r="I9" s="44"/>
    </row>
    <row r="10" spans="1:9" ht="12" customHeight="1" x14ac:dyDescent="0.25">
      <c r="A10" s="44"/>
      <c r="B10" s="298" t="s">
        <v>261</v>
      </c>
      <c r="C10" s="298" t="s">
        <v>186</v>
      </c>
      <c r="D10" s="299">
        <v>44562</v>
      </c>
      <c r="E10" s="298">
        <v>2</v>
      </c>
      <c r="F10" s="44"/>
      <c r="G10" s="44"/>
      <c r="H10" s="44"/>
      <c r="I10" s="44"/>
    </row>
    <row r="11" spans="1:9" ht="9.75" customHeight="1" x14ac:dyDescent="0.25">
      <c r="A11" s="44"/>
      <c r="B11" s="298"/>
      <c r="C11" s="298"/>
      <c r="D11" s="298"/>
      <c r="E11" s="298"/>
      <c r="F11" s="44"/>
      <c r="G11" s="44"/>
      <c r="H11" s="44"/>
      <c r="I11" s="44"/>
    </row>
    <row r="12" spans="1:9" ht="12" customHeight="1" x14ac:dyDescent="0.25">
      <c r="A12" s="44"/>
      <c r="B12" s="300" t="s">
        <v>203</v>
      </c>
      <c r="C12" s="300"/>
      <c r="D12" s="301">
        <v>1527.06</v>
      </c>
      <c r="E12" s="301"/>
      <c r="F12" s="44"/>
      <c r="G12" s="44"/>
      <c r="H12" s="44"/>
      <c r="I12" s="44"/>
    </row>
    <row r="13" spans="1:9" ht="12" customHeight="1" x14ac:dyDescent="0.25">
      <c r="A13" s="44"/>
      <c r="B13" s="302" t="s">
        <v>204</v>
      </c>
      <c r="C13" s="302"/>
      <c r="D13" s="302"/>
      <c r="E13" s="302"/>
      <c r="F13" s="44"/>
      <c r="G13" s="44"/>
      <c r="H13" s="44"/>
      <c r="I13" s="44"/>
    </row>
    <row r="14" spans="1:9" ht="9" customHeight="1" x14ac:dyDescent="0.25">
      <c r="A14" s="44"/>
      <c r="B14" s="302"/>
      <c r="C14" s="302"/>
      <c r="D14" s="302"/>
      <c r="E14" s="302"/>
      <c r="F14" s="44"/>
      <c r="G14" s="44"/>
      <c r="H14" s="44"/>
      <c r="I14" s="44"/>
    </row>
    <row r="15" spans="1:9" ht="12" customHeight="1" x14ac:dyDescent="0.25">
      <c r="A15" s="44"/>
      <c r="B15" s="303" t="s">
        <v>205</v>
      </c>
      <c r="C15" s="303"/>
      <c r="D15" s="304" t="s">
        <v>206</v>
      </c>
      <c r="E15" s="304"/>
      <c r="F15" s="44"/>
      <c r="G15" s="44"/>
      <c r="H15" s="44"/>
      <c r="I15" s="44"/>
    </row>
    <row r="16" spans="1:9" ht="12" customHeight="1" x14ac:dyDescent="0.25">
      <c r="A16" s="54" t="s">
        <v>28</v>
      </c>
      <c r="B16" s="305" t="s">
        <v>207</v>
      </c>
      <c r="C16" s="305"/>
      <c r="D16" s="306">
        <v>1527.06</v>
      </c>
      <c r="E16" s="306"/>
      <c r="F16" s="44"/>
      <c r="G16" s="44"/>
      <c r="H16" s="44"/>
      <c r="I16" s="44"/>
    </row>
    <row r="17" spans="1:9" ht="12" customHeight="1" x14ac:dyDescent="0.25">
      <c r="A17" s="54" t="s">
        <v>31</v>
      </c>
      <c r="B17" s="305" t="s">
        <v>208</v>
      </c>
      <c r="C17" s="305"/>
      <c r="D17" s="307">
        <v>0</v>
      </c>
      <c r="E17" s="307"/>
      <c r="F17" s="44"/>
      <c r="G17" s="44"/>
      <c r="H17" s="44"/>
      <c r="I17" s="44"/>
    </row>
    <row r="18" spans="1:9" ht="12" customHeight="1" x14ac:dyDescent="0.25">
      <c r="A18" s="54" t="s">
        <v>34</v>
      </c>
      <c r="B18" s="305" t="s">
        <v>209</v>
      </c>
      <c r="C18" s="305"/>
      <c r="D18" s="307">
        <v>0</v>
      </c>
      <c r="E18" s="307"/>
      <c r="F18" s="44"/>
      <c r="G18" s="44"/>
      <c r="H18" s="44"/>
      <c r="I18" s="44"/>
    </row>
    <row r="19" spans="1:9" ht="12" customHeight="1" x14ac:dyDescent="0.25">
      <c r="A19" s="54" t="s">
        <v>36</v>
      </c>
      <c r="B19" s="305" t="s">
        <v>210</v>
      </c>
      <c r="C19" s="305"/>
      <c r="D19" s="307">
        <v>0</v>
      </c>
      <c r="E19" s="307"/>
      <c r="F19" s="44"/>
      <c r="G19" s="44"/>
      <c r="H19" s="44"/>
      <c r="I19" s="44"/>
    </row>
    <row r="20" spans="1:9" ht="12" customHeight="1" x14ac:dyDescent="0.25">
      <c r="A20" s="54" t="s">
        <v>39</v>
      </c>
      <c r="B20" s="305" t="s">
        <v>40</v>
      </c>
      <c r="C20" s="305"/>
      <c r="D20" s="307">
        <v>0</v>
      </c>
      <c r="E20" s="307"/>
      <c r="F20" s="44"/>
      <c r="G20" s="44"/>
      <c r="H20" s="44"/>
      <c r="I20" s="44"/>
    </row>
    <row r="21" spans="1:9" ht="12" customHeight="1" x14ac:dyDescent="0.25">
      <c r="A21" s="54" t="s">
        <v>41</v>
      </c>
      <c r="B21" s="305" t="s">
        <v>42</v>
      </c>
      <c r="C21" s="305"/>
      <c r="D21" s="307">
        <v>0</v>
      </c>
      <c r="E21" s="307"/>
      <c r="F21" s="44"/>
      <c r="G21" s="44"/>
      <c r="H21" s="44"/>
      <c r="I21" s="44"/>
    </row>
    <row r="22" spans="1:9" ht="12" customHeight="1" x14ac:dyDescent="0.25">
      <c r="A22" s="44"/>
      <c r="B22" s="61" t="s">
        <v>211</v>
      </c>
      <c r="C22" s="62"/>
      <c r="D22" s="322">
        <v>1527.06</v>
      </c>
      <c r="E22" s="322"/>
      <c r="F22" s="44"/>
      <c r="G22" s="47"/>
      <c r="H22" s="47"/>
      <c r="I22" s="47"/>
    </row>
    <row r="23" spans="1:9" ht="12" customHeight="1" x14ac:dyDescent="0.25">
      <c r="A23" s="44"/>
      <c r="B23" s="302" t="s">
        <v>212</v>
      </c>
      <c r="C23" s="302"/>
      <c r="D23" s="302"/>
      <c r="E23" s="302"/>
      <c r="F23" s="44"/>
      <c r="G23" s="44"/>
      <c r="H23" s="44"/>
      <c r="I23" s="44"/>
    </row>
    <row r="24" spans="1:9" ht="7.5" customHeight="1" x14ac:dyDescent="0.25">
      <c r="A24" s="44"/>
      <c r="B24" s="302"/>
      <c r="C24" s="302"/>
      <c r="D24" s="302"/>
      <c r="E24" s="302"/>
      <c r="F24" s="44"/>
      <c r="G24" s="44"/>
      <c r="H24" s="44"/>
      <c r="I24" s="44"/>
    </row>
    <row r="25" spans="1:9" ht="12" customHeight="1" x14ac:dyDescent="0.25">
      <c r="A25" s="44"/>
      <c r="B25" s="302" t="s">
        <v>213</v>
      </c>
      <c r="C25" s="302"/>
      <c r="D25" s="302"/>
      <c r="E25" s="302"/>
      <c r="F25" s="44"/>
      <c r="G25" s="44"/>
      <c r="H25" s="44"/>
      <c r="I25" s="44"/>
    </row>
    <row r="26" spans="1:9" ht="12" customHeight="1" x14ac:dyDescent="0.25">
      <c r="A26" s="44"/>
      <c r="B26" s="57" t="s">
        <v>214</v>
      </c>
      <c r="C26" s="58"/>
      <c r="D26" s="304" t="s">
        <v>206</v>
      </c>
      <c r="E26" s="304"/>
      <c r="F26" s="44"/>
      <c r="G26" s="44"/>
      <c r="H26" s="47"/>
      <c r="I26" s="47"/>
    </row>
    <row r="27" spans="1:9" ht="12" customHeight="1" x14ac:dyDescent="0.25">
      <c r="A27" s="54" t="s">
        <v>28</v>
      </c>
      <c r="B27" s="63" t="s">
        <v>53</v>
      </c>
      <c r="C27" s="64">
        <v>8.3299999999999999E-2</v>
      </c>
      <c r="D27" s="306">
        <f>(D22*C27)</f>
        <v>127.20409799999999</v>
      </c>
      <c r="E27" s="306"/>
      <c r="F27" s="44"/>
      <c r="G27" s="47"/>
      <c r="H27" s="47"/>
      <c r="I27" s="44"/>
    </row>
    <row r="28" spans="1:9" ht="12" customHeight="1" x14ac:dyDescent="0.25">
      <c r="A28" s="54" t="s">
        <v>31</v>
      </c>
      <c r="B28" s="65" t="s">
        <v>215</v>
      </c>
      <c r="C28" s="64">
        <v>0.121</v>
      </c>
      <c r="D28" s="306">
        <f>(D22*C28)</f>
        <v>184.77426</v>
      </c>
      <c r="E28" s="306"/>
      <c r="F28" s="44"/>
      <c r="G28" s="44"/>
      <c r="H28" s="47"/>
      <c r="I28" s="47"/>
    </row>
    <row r="29" spans="1:9" ht="12" customHeight="1" x14ac:dyDescent="0.25">
      <c r="A29" s="44"/>
      <c r="B29" s="61" t="s">
        <v>211</v>
      </c>
      <c r="C29" s="66">
        <f>SUM(C27:C28)</f>
        <v>0.20429999999999998</v>
      </c>
      <c r="D29" s="308">
        <f>SUM(D27:E28)</f>
        <v>311.97835799999996</v>
      </c>
      <c r="E29" s="308"/>
      <c r="F29" s="44"/>
      <c r="G29" s="44"/>
      <c r="H29" s="44"/>
      <c r="I29" s="44"/>
    </row>
    <row r="30" spans="1:9" ht="12" customHeight="1" x14ac:dyDescent="0.25">
      <c r="A30" s="44"/>
      <c r="B30" s="309" t="s">
        <v>216</v>
      </c>
      <c r="C30" s="309"/>
      <c r="D30" s="309"/>
      <c r="E30" s="309"/>
      <c r="F30" s="44"/>
      <c r="G30" s="44"/>
      <c r="H30" s="44"/>
      <c r="I30" s="44"/>
    </row>
    <row r="31" spans="1:9" ht="12" customHeight="1" x14ac:dyDescent="0.25">
      <c r="A31" s="44"/>
      <c r="B31" s="57" t="s">
        <v>217</v>
      </c>
      <c r="C31" s="58"/>
      <c r="D31" s="304" t="s">
        <v>206</v>
      </c>
      <c r="E31" s="304"/>
      <c r="F31" s="44"/>
      <c r="G31" s="44"/>
      <c r="H31" s="44"/>
      <c r="I31" s="44"/>
    </row>
    <row r="32" spans="1:9" ht="12" customHeight="1" x14ac:dyDescent="0.25">
      <c r="A32" s="54" t="s">
        <v>28</v>
      </c>
      <c r="B32" s="67" t="s">
        <v>70</v>
      </c>
      <c r="C32" s="64">
        <v>0.2</v>
      </c>
      <c r="D32" s="306">
        <f t="shared" ref="D32:D39" si="0">(C32*($D$22+$D$29))</f>
        <v>367.80767159999999</v>
      </c>
      <c r="E32" s="306"/>
      <c r="F32" s="44"/>
      <c r="G32" s="44"/>
      <c r="H32" s="44"/>
      <c r="I32" s="44"/>
    </row>
    <row r="33" spans="1:9" ht="12" customHeight="1" x14ac:dyDescent="0.25">
      <c r="A33" s="54" t="s">
        <v>31</v>
      </c>
      <c r="B33" s="67" t="s">
        <v>218</v>
      </c>
      <c r="C33" s="64">
        <v>1.4999999999999999E-2</v>
      </c>
      <c r="D33" s="306">
        <f t="shared" si="0"/>
        <v>27.585575369999997</v>
      </c>
      <c r="E33" s="306"/>
      <c r="F33" s="44"/>
      <c r="G33" s="44"/>
      <c r="H33" s="44"/>
      <c r="I33" s="44"/>
    </row>
    <row r="34" spans="1:9" ht="12" customHeight="1" x14ac:dyDescent="0.25">
      <c r="A34" s="54" t="s">
        <v>34</v>
      </c>
      <c r="B34" s="67" t="s">
        <v>219</v>
      </c>
      <c r="C34" s="64">
        <v>0.01</v>
      </c>
      <c r="D34" s="306">
        <f t="shared" si="0"/>
        <v>18.390383579999998</v>
      </c>
      <c r="E34" s="306"/>
      <c r="F34" s="40"/>
      <c r="G34" s="40"/>
      <c r="H34" s="40"/>
      <c r="I34" s="40"/>
    </row>
    <row r="35" spans="1:9" ht="12" customHeight="1" x14ac:dyDescent="0.25">
      <c r="A35" s="54" t="s">
        <v>36</v>
      </c>
      <c r="B35" s="67" t="s">
        <v>77</v>
      </c>
      <c r="C35" s="64">
        <v>2E-3</v>
      </c>
      <c r="D35" s="306">
        <f t="shared" si="0"/>
        <v>3.6780767159999996</v>
      </c>
      <c r="E35" s="306"/>
      <c r="F35" s="40"/>
      <c r="G35" s="40"/>
      <c r="H35" s="40"/>
      <c r="I35" s="40"/>
    </row>
    <row r="36" spans="1:9" ht="12" customHeight="1" x14ac:dyDescent="0.25">
      <c r="A36" s="54" t="s">
        <v>39</v>
      </c>
      <c r="B36" s="67" t="s">
        <v>71</v>
      </c>
      <c r="C36" s="64">
        <v>2.5000000000000001E-2</v>
      </c>
      <c r="D36" s="306">
        <f t="shared" si="0"/>
        <v>45.975958949999999</v>
      </c>
      <c r="E36" s="306"/>
      <c r="F36" s="44"/>
      <c r="G36" s="44"/>
      <c r="H36" s="44"/>
      <c r="I36" s="44"/>
    </row>
    <row r="37" spans="1:9" ht="12" customHeight="1" x14ac:dyDescent="0.25">
      <c r="A37" s="54" t="s">
        <v>41</v>
      </c>
      <c r="B37" s="67" t="s">
        <v>79</v>
      </c>
      <c r="C37" s="64">
        <v>0.08</v>
      </c>
      <c r="D37" s="306">
        <f t="shared" si="0"/>
        <v>147.12306863999999</v>
      </c>
      <c r="E37" s="306"/>
      <c r="F37" s="44"/>
      <c r="G37" s="44"/>
      <c r="H37" s="44"/>
      <c r="I37" s="44"/>
    </row>
    <row r="38" spans="1:9" ht="12" customHeight="1" x14ac:dyDescent="0.25">
      <c r="A38" s="54" t="s">
        <v>76</v>
      </c>
      <c r="B38" s="67" t="s">
        <v>220</v>
      </c>
      <c r="C38" s="64">
        <v>0.03</v>
      </c>
      <c r="D38" s="306">
        <f t="shared" si="0"/>
        <v>55.171150739999995</v>
      </c>
      <c r="E38" s="306"/>
      <c r="F38" s="44"/>
      <c r="G38" s="44"/>
      <c r="H38" s="44"/>
      <c r="I38" s="44"/>
    </row>
    <row r="39" spans="1:9" ht="12" customHeight="1" x14ac:dyDescent="0.25">
      <c r="A39" s="54" t="s">
        <v>78</v>
      </c>
      <c r="B39" s="67" t="s">
        <v>75</v>
      </c>
      <c r="C39" s="64">
        <v>6.0000000000000001E-3</v>
      </c>
      <c r="D39" s="306">
        <f t="shared" si="0"/>
        <v>11.034230147999999</v>
      </c>
      <c r="E39" s="306"/>
      <c r="F39" s="44"/>
      <c r="G39" s="44"/>
      <c r="H39" s="44"/>
      <c r="I39" s="44"/>
    </row>
    <row r="40" spans="1:9" ht="12" customHeight="1" x14ac:dyDescent="0.25">
      <c r="A40" s="44"/>
      <c r="B40" s="61" t="s">
        <v>211</v>
      </c>
      <c r="C40" s="66">
        <f>SUM(C32:C39)</f>
        <v>0.3680000000000001</v>
      </c>
      <c r="D40" s="308">
        <f>SUM(D32:E39)</f>
        <v>676.76611574399999</v>
      </c>
      <c r="E40" s="308"/>
      <c r="F40" s="40"/>
      <c r="G40" s="40"/>
      <c r="H40" s="40"/>
      <c r="I40" s="40"/>
    </row>
    <row r="41" spans="1:9" ht="12" customHeight="1" x14ac:dyDescent="0.25">
      <c r="A41" s="44"/>
      <c r="B41" s="302" t="s">
        <v>221</v>
      </c>
      <c r="C41" s="302"/>
      <c r="D41" s="302"/>
      <c r="E41" s="302"/>
      <c r="F41" s="44"/>
      <c r="G41" s="44"/>
      <c r="H41" s="44"/>
      <c r="I41" s="44"/>
    </row>
    <row r="42" spans="1:9" ht="12" customHeight="1" x14ac:dyDescent="0.25">
      <c r="A42" s="44"/>
      <c r="B42" s="57" t="s">
        <v>222</v>
      </c>
      <c r="C42" s="58"/>
      <c r="D42" s="304" t="s">
        <v>206</v>
      </c>
      <c r="E42" s="304"/>
      <c r="F42" s="44"/>
      <c r="G42" s="44"/>
      <c r="H42" s="44"/>
      <c r="I42" s="44"/>
    </row>
    <row r="43" spans="1:9" ht="12" customHeight="1" x14ac:dyDescent="0.25">
      <c r="A43" s="54" t="s">
        <v>28</v>
      </c>
      <c r="B43" s="63" t="s">
        <v>87</v>
      </c>
      <c r="C43" s="68"/>
      <c r="D43" s="307">
        <v>0</v>
      </c>
      <c r="E43" s="307"/>
      <c r="F43" s="44"/>
      <c r="G43" s="44" t="s">
        <v>282</v>
      </c>
      <c r="H43" s="44"/>
      <c r="I43" s="44"/>
    </row>
    <row r="44" spans="1:9" ht="12" customHeight="1" x14ac:dyDescent="0.25">
      <c r="A44" s="54" t="s">
        <v>31</v>
      </c>
      <c r="B44" s="63" t="s">
        <v>88</v>
      </c>
      <c r="C44" s="68"/>
      <c r="D44" s="307">
        <v>460</v>
      </c>
      <c r="E44" s="307"/>
      <c r="F44" s="48"/>
      <c r="G44" s="40"/>
      <c r="H44" s="40"/>
      <c r="I44" s="40"/>
    </row>
    <row r="45" spans="1:9" ht="12" customHeight="1" x14ac:dyDescent="0.25">
      <c r="A45" s="54" t="s">
        <v>34</v>
      </c>
      <c r="B45" s="69" t="s">
        <v>225</v>
      </c>
      <c r="C45" s="68"/>
      <c r="D45" s="307">
        <v>0</v>
      </c>
      <c r="E45" s="307"/>
      <c r="F45" s="48"/>
      <c r="G45" s="44"/>
      <c r="H45" s="44"/>
      <c r="I45" s="44"/>
    </row>
    <row r="46" spans="1:9" ht="12" customHeight="1" x14ac:dyDescent="0.25">
      <c r="A46" s="54" t="s">
        <v>36</v>
      </c>
      <c r="B46" s="69" t="s">
        <v>92</v>
      </c>
      <c r="C46" s="68"/>
      <c r="D46" s="307">
        <v>20</v>
      </c>
      <c r="E46" s="307"/>
      <c r="F46" s="48"/>
      <c r="G46" s="310" t="s">
        <v>226</v>
      </c>
      <c r="H46" s="310"/>
      <c r="I46" s="310"/>
    </row>
    <row r="47" spans="1:9" ht="12" customHeight="1" x14ac:dyDescent="0.25">
      <c r="A47" s="54" t="s">
        <v>39</v>
      </c>
      <c r="B47" s="69" t="s">
        <v>227</v>
      </c>
      <c r="C47" s="68"/>
      <c r="D47" s="307">
        <v>5</v>
      </c>
      <c r="E47" s="307"/>
      <c r="F47" s="48"/>
      <c r="G47" s="41" t="s">
        <v>223</v>
      </c>
      <c r="H47" s="41" t="s">
        <v>278</v>
      </c>
      <c r="I47" s="41" t="s">
        <v>224</v>
      </c>
    </row>
    <row r="48" spans="1:9" ht="12" customHeight="1" x14ac:dyDescent="0.25">
      <c r="A48" s="54" t="s">
        <v>41</v>
      </c>
      <c r="B48" s="69" t="s">
        <v>228</v>
      </c>
      <c r="C48" s="70"/>
      <c r="D48" s="307">
        <v>40</v>
      </c>
      <c r="E48" s="307"/>
      <c r="F48" s="48"/>
      <c r="G48" s="41">
        <v>22</v>
      </c>
      <c r="H48" s="42">
        <v>20.91</v>
      </c>
      <c r="I48" s="49">
        <v>460</v>
      </c>
    </row>
    <row r="49" spans="1:9" ht="12" customHeight="1" x14ac:dyDescent="0.25">
      <c r="A49" s="44"/>
      <c r="B49" s="61" t="s">
        <v>229</v>
      </c>
      <c r="C49" s="71"/>
      <c r="D49" s="308">
        <f>SUM(D43:E48)</f>
        <v>525</v>
      </c>
      <c r="E49" s="308"/>
      <c r="F49" s="48"/>
      <c r="G49" s="44"/>
      <c r="H49" s="44"/>
      <c r="I49" s="44"/>
    </row>
    <row r="50" spans="1:9" ht="12" customHeight="1" x14ac:dyDescent="0.25">
      <c r="A50" s="44"/>
      <c r="B50" s="302" t="s">
        <v>98</v>
      </c>
      <c r="C50" s="302"/>
      <c r="D50" s="302"/>
      <c r="E50" s="302"/>
      <c r="F50" s="48"/>
      <c r="G50" s="44"/>
      <c r="H50" s="44"/>
      <c r="I50" s="44"/>
    </row>
    <row r="51" spans="1:9" ht="12" customHeight="1" x14ac:dyDescent="0.25">
      <c r="A51" s="44"/>
      <c r="B51" s="55" t="s">
        <v>230</v>
      </c>
      <c r="C51" s="72"/>
      <c r="D51" s="304" t="s">
        <v>206</v>
      </c>
      <c r="E51" s="304"/>
      <c r="F51" s="48"/>
      <c r="G51" s="44"/>
      <c r="H51" s="44"/>
      <c r="I51" s="44"/>
    </row>
    <row r="52" spans="1:9" ht="12" customHeight="1" x14ac:dyDescent="0.25">
      <c r="A52" s="54" t="s">
        <v>51</v>
      </c>
      <c r="B52" s="311" t="s">
        <v>231</v>
      </c>
      <c r="C52" s="311"/>
      <c r="D52" s="307">
        <f>+D29</f>
        <v>311.97835799999996</v>
      </c>
      <c r="E52" s="307"/>
      <c r="F52" s="44"/>
      <c r="G52" s="44"/>
      <c r="H52" s="44"/>
      <c r="I52" s="44"/>
    </row>
    <row r="53" spans="1:9" ht="12" customHeight="1" x14ac:dyDescent="0.25">
      <c r="A53" s="54" t="s">
        <v>67</v>
      </c>
      <c r="B53" s="311" t="s">
        <v>68</v>
      </c>
      <c r="C53" s="311"/>
      <c r="D53" s="307">
        <f>+D40</f>
        <v>676.76611574399999</v>
      </c>
      <c r="E53" s="307"/>
      <c r="F53" s="44"/>
      <c r="G53" s="44"/>
      <c r="H53" s="44"/>
      <c r="I53" s="44"/>
    </row>
    <row r="54" spans="1:9" ht="12" customHeight="1" x14ac:dyDescent="0.25">
      <c r="A54" s="54" t="s">
        <v>85</v>
      </c>
      <c r="B54" s="311" t="s">
        <v>86</v>
      </c>
      <c r="C54" s="311"/>
      <c r="D54" s="307">
        <f>+D49</f>
        <v>525</v>
      </c>
      <c r="E54" s="307"/>
      <c r="F54" s="44"/>
      <c r="G54" s="44"/>
      <c r="H54" s="44"/>
      <c r="I54" s="44"/>
    </row>
    <row r="55" spans="1:9" ht="12" customHeight="1" x14ac:dyDescent="0.25">
      <c r="A55" s="44"/>
      <c r="B55" s="312" t="s">
        <v>211</v>
      </c>
      <c r="C55" s="312"/>
      <c r="D55" s="308">
        <f>SUM(D52:E54)</f>
        <v>1513.7444737440001</v>
      </c>
      <c r="E55" s="308"/>
      <c r="F55" s="44"/>
      <c r="G55" s="44"/>
      <c r="H55" s="44"/>
      <c r="I55" s="44"/>
    </row>
    <row r="56" spans="1:9" ht="12" customHeight="1" x14ac:dyDescent="0.25">
      <c r="A56" s="44"/>
      <c r="B56" s="313" t="s">
        <v>232</v>
      </c>
      <c r="C56" s="313"/>
      <c r="D56" s="313"/>
      <c r="E56" s="313"/>
      <c r="F56" s="44"/>
      <c r="G56" s="44"/>
      <c r="H56" s="44"/>
      <c r="I56" s="44"/>
    </row>
    <row r="57" spans="1:9" ht="6" customHeight="1" x14ac:dyDescent="0.25">
      <c r="A57" s="50"/>
      <c r="B57" s="314"/>
      <c r="C57" s="314"/>
      <c r="D57" s="314"/>
      <c r="E57" s="314"/>
      <c r="F57" s="44"/>
      <c r="G57" s="44"/>
      <c r="H57" s="44"/>
      <c r="I57" s="44"/>
    </row>
    <row r="58" spans="1:9" ht="12" customHeight="1" x14ac:dyDescent="0.25">
      <c r="A58" s="44"/>
      <c r="B58" s="55" t="s">
        <v>233</v>
      </c>
      <c r="C58" s="72"/>
      <c r="D58" s="304" t="s">
        <v>206</v>
      </c>
      <c r="E58" s="304"/>
      <c r="F58" s="50"/>
      <c r="G58" s="50"/>
      <c r="H58" s="50"/>
      <c r="I58" s="50"/>
    </row>
    <row r="59" spans="1:9" ht="12" customHeight="1" x14ac:dyDescent="0.25">
      <c r="A59" s="54" t="s">
        <v>28</v>
      </c>
      <c r="B59" s="73" t="s">
        <v>104</v>
      </c>
      <c r="C59" s="74">
        <v>4.1999999999999997E-3</v>
      </c>
      <c r="D59" s="306">
        <f t="shared" ref="D59:D64" si="1">C59*$D$22</f>
        <v>6.413651999999999</v>
      </c>
      <c r="E59" s="306"/>
      <c r="F59" s="44"/>
      <c r="G59" s="44"/>
      <c r="H59" s="44"/>
      <c r="I59" s="44"/>
    </row>
    <row r="60" spans="1:9" ht="12" customHeight="1" x14ac:dyDescent="0.25">
      <c r="A60" s="54" t="s">
        <v>31</v>
      </c>
      <c r="B60" s="73" t="s">
        <v>234</v>
      </c>
      <c r="C60" s="74">
        <f>C59*C37</f>
        <v>3.3599999999999998E-4</v>
      </c>
      <c r="D60" s="306">
        <f t="shared" si="1"/>
        <v>0.51309215999999991</v>
      </c>
      <c r="E60" s="306"/>
      <c r="F60" s="44"/>
      <c r="G60" s="44"/>
      <c r="H60" s="44"/>
      <c r="I60" s="44"/>
    </row>
    <row r="61" spans="1:9" ht="12" customHeight="1" x14ac:dyDescent="0.25">
      <c r="A61" s="54" t="s">
        <v>34</v>
      </c>
      <c r="B61" s="73" t="s">
        <v>235</v>
      </c>
      <c r="C61" s="75">
        <v>1.6000000000000001E-3</v>
      </c>
      <c r="D61" s="306">
        <f t="shared" si="1"/>
        <v>2.4432960000000001</v>
      </c>
      <c r="E61" s="306"/>
      <c r="F61" s="44"/>
      <c r="G61" s="44"/>
      <c r="H61" s="44"/>
      <c r="I61" s="44"/>
    </row>
    <row r="62" spans="1:9" ht="12" customHeight="1" x14ac:dyDescent="0.25">
      <c r="A62" s="54" t="s">
        <v>36</v>
      </c>
      <c r="B62" s="73" t="s">
        <v>236</v>
      </c>
      <c r="C62" s="75">
        <v>1.8499999999999999E-2</v>
      </c>
      <c r="D62" s="306">
        <f t="shared" si="1"/>
        <v>28.250609999999998</v>
      </c>
      <c r="E62" s="306"/>
      <c r="F62" s="44"/>
      <c r="G62" s="44"/>
      <c r="H62" s="51"/>
      <c r="I62" s="44"/>
    </row>
    <row r="63" spans="1:9" ht="12" customHeight="1" x14ac:dyDescent="0.25">
      <c r="A63" s="54" t="s">
        <v>39</v>
      </c>
      <c r="B63" s="73" t="s">
        <v>237</v>
      </c>
      <c r="C63" s="74">
        <v>6.8999999999999999E-3</v>
      </c>
      <c r="D63" s="306">
        <f t="shared" si="1"/>
        <v>10.536714</v>
      </c>
      <c r="E63" s="306"/>
      <c r="F63" s="44"/>
      <c r="G63" s="44"/>
      <c r="H63" s="44"/>
      <c r="I63" s="44"/>
    </row>
    <row r="64" spans="1:9" ht="12" customHeight="1" x14ac:dyDescent="0.25">
      <c r="A64" s="54" t="s">
        <v>41</v>
      </c>
      <c r="B64" s="73" t="s">
        <v>108</v>
      </c>
      <c r="C64" s="75">
        <v>3.04E-2</v>
      </c>
      <c r="D64" s="306">
        <f t="shared" si="1"/>
        <v>46.422623999999999</v>
      </c>
      <c r="E64" s="306"/>
      <c r="F64" s="44"/>
      <c r="G64" s="44"/>
      <c r="H64" s="44"/>
      <c r="I64" s="44"/>
    </row>
    <row r="65" spans="1:9" ht="12" customHeight="1" x14ac:dyDescent="0.25">
      <c r="A65" s="44"/>
      <c r="B65" s="76" t="s">
        <v>229</v>
      </c>
      <c r="C65" s="77">
        <f>TRUNC(SUM(C59:C64),8)</f>
        <v>6.1935999999999998E-2</v>
      </c>
      <c r="D65" s="308">
        <f>SUM(D59:E64)</f>
        <v>94.579988159999999</v>
      </c>
      <c r="E65" s="308"/>
      <c r="F65" s="44"/>
      <c r="G65" s="44"/>
      <c r="H65" s="44"/>
      <c r="I65" s="44"/>
    </row>
    <row r="66" spans="1:9" ht="12" customHeight="1" x14ac:dyDescent="0.25">
      <c r="A66" s="44"/>
      <c r="B66" s="313" t="s">
        <v>238</v>
      </c>
      <c r="C66" s="313"/>
      <c r="D66" s="313"/>
      <c r="E66" s="313"/>
      <c r="F66" s="44"/>
      <c r="G66" s="44"/>
      <c r="H66" s="44"/>
      <c r="I66" s="44"/>
    </row>
    <row r="67" spans="1:9" ht="6" customHeight="1" x14ac:dyDescent="0.25">
      <c r="A67" s="44"/>
      <c r="B67" s="313"/>
      <c r="C67" s="313"/>
      <c r="D67" s="313"/>
      <c r="E67" s="313"/>
      <c r="F67" s="44"/>
      <c r="G67" s="44"/>
      <c r="H67" s="44"/>
      <c r="I67" s="44"/>
    </row>
    <row r="68" spans="1:9" ht="12" customHeight="1" x14ac:dyDescent="0.25">
      <c r="A68" s="44"/>
      <c r="B68" s="313" t="s">
        <v>121</v>
      </c>
      <c r="C68" s="313"/>
      <c r="D68" s="313"/>
      <c r="E68" s="313"/>
      <c r="F68" s="44"/>
      <c r="G68" s="44"/>
      <c r="H68" s="44"/>
      <c r="I68" s="44"/>
    </row>
    <row r="69" spans="1:9" ht="12" customHeight="1" x14ac:dyDescent="0.25">
      <c r="A69" s="44"/>
      <c r="B69" s="55" t="s">
        <v>239</v>
      </c>
      <c r="C69" s="72"/>
      <c r="D69" s="304" t="s">
        <v>206</v>
      </c>
      <c r="E69" s="304"/>
      <c r="F69" s="48"/>
      <c r="G69" s="44"/>
      <c r="H69" s="48"/>
      <c r="I69" s="44"/>
    </row>
    <row r="70" spans="1:9" ht="12" customHeight="1" x14ac:dyDescent="0.25">
      <c r="A70" s="54" t="s">
        <v>28</v>
      </c>
      <c r="B70" s="78" t="s">
        <v>125</v>
      </c>
      <c r="C70" s="94">
        <v>1.6199999999999999E-2</v>
      </c>
      <c r="D70" s="306">
        <f>C70*(D65+D55+D22)</f>
        <v>50.793228282844801</v>
      </c>
      <c r="E70" s="306"/>
      <c r="F70" s="44"/>
      <c r="G70" s="44"/>
      <c r="H70" s="48"/>
      <c r="I70" s="44"/>
    </row>
    <row r="71" spans="1:9" ht="12" customHeight="1" x14ac:dyDescent="0.25">
      <c r="A71" s="54" t="s">
        <v>31</v>
      </c>
      <c r="B71" s="78" t="s">
        <v>126</v>
      </c>
      <c r="C71" s="74">
        <v>5.5999999999999999E-3</v>
      </c>
      <c r="D71" s="306">
        <f>C71*(D65+D55+D22)</f>
        <v>17.5581529866624</v>
      </c>
      <c r="E71" s="306"/>
      <c r="F71" s="44"/>
      <c r="G71" s="44"/>
      <c r="H71" s="48"/>
      <c r="I71" s="44"/>
    </row>
    <row r="72" spans="1:9" ht="12" customHeight="1" x14ac:dyDescent="0.25">
      <c r="A72" s="54" t="s">
        <v>34</v>
      </c>
      <c r="B72" s="78" t="s">
        <v>127</v>
      </c>
      <c r="C72" s="74">
        <v>2.9999999999999997E-4</v>
      </c>
      <c r="D72" s="306">
        <f>C72*(D65+D55+D22)</f>
        <v>0.94061533857119994</v>
      </c>
      <c r="E72" s="306"/>
      <c r="F72" s="44"/>
      <c r="G72" s="44"/>
      <c r="H72" s="48"/>
      <c r="I72" s="44"/>
    </row>
    <row r="73" spans="1:9" ht="12" customHeight="1" x14ac:dyDescent="0.25">
      <c r="A73" s="54" t="s">
        <v>36</v>
      </c>
      <c r="B73" s="78" t="s">
        <v>128</v>
      </c>
      <c r="C73" s="74">
        <v>3.3E-3</v>
      </c>
      <c r="D73" s="306">
        <f>C73*(D65+D55+D22)</f>
        <v>10.3467687242832</v>
      </c>
      <c r="E73" s="306"/>
      <c r="F73" s="44"/>
      <c r="G73" s="44"/>
      <c r="H73" s="48"/>
      <c r="I73" s="44"/>
    </row>
    <row r="74" spans="1:9" ht="12" customHeight="1" x14ac:dyDescent="0.25">
      <c r="A74" s="54" t="s">
        <v>39</v>
      </c>
      <c r="B74" s="78" t="s">
        <v>129</v>
      </c>
      <c r="C74" s="74">
        <v>1.1000000000000001E-3</v>
      </c>
      <c r="D74" s="306">
        <f>C74*(D65+D55+D22)</f>
        <v>3.4489229080944002</v>
      </c>
      <c r="E74" s="306"/>
      <c r="F74" s="44"/>
      <c r="G74" s="44"/>
      <c r="H74" s="48"/>
      <c r="I74" s="44"/>
    </row>
    <row r="75" spans="1:9" ht="12" customHeight="1" x14ac:dyDescent="0.25">
      <c r="A75" s="54" t="s">
        <v>41</v>
      </c>
      <c r="B75" s="78" t="s">
        <v>240</v>
      </c>
      <c r="C75" s="74">
        <v>0</v>
      </c>
      <c r="D75" s="306">
        <f>C75*$D$22</f>
        <v>0</v>
      </c>
      <c r="E75" s="306"/>
      <c r="F75" s="44"/>
      <c r="G75" s="44"/>
      <c r="H75" s="48"/>
      <c r="I75" s="44"/>
    </row>
    <row r="76" spans="1:9" ht="12" customHeight="1" x14ac:dyDescent="0.25">
      <c r="A76" s="44"/>
      <c r="B76" s="76" t="s">
        <v>211</v>
      </c>
      <c r="C76" s="79">
        <f>SUM(C70:C75)</f>
        <v>2.6500000000000003E-2</v>
      </c>
      <c r="D76" s="308">
        <f>SUM(D70:E75)</f>
        <v>83.087688240456004</v>
      </c>
      <c r="E76" s="308"/>
      <c r="F76" s="44"/>
      <c r="G76" s="44"/>
      <c r="H76" s="48"/>
      <c r="I76" s="44"/>
    </row>
    <row r="77" spans="1:9" ht="12" customHeight="1" x14ac:dyDescent="0.25">
      <c r="A77" s="44"/>
      <c r="B77" s="314"/>
      <c r="C77" s="314"/>
      <c r="D77" s="314"/>
      <c r="E77" s="314"/>
      <c r="F77" s="44"/>
      <c r="G77" s="44"/>
      <c r="H77" s="48"/>
      <c r="I77" s="44"/>
    </row>
    <row r="78" spans="1:9" ht="12" customHeight="1" x14ac:dyDescent="0.25">
      <c r="A78" s="44"/>
      <c r="B78" s="55" t="s">
        <v>241</v>
      </c>
      <c r="C78" s="80"/>
      <c r="D78" s="304" t="s">
        <v>206</v>
      </c>
      <c r="E78" s="304"/>
      <c r="F78" s="44"/>
      <c r="G78" s="44"/>
      <c r="H78" s="44"/>
      <c r="I78" s="44"/>
    </row>
    <row r="79" spans="1:9" ht="12" customHeight="1" x14ac:dyDescent="0.25">
      <c r="A79" s="54" t="s">
        <v>28</v>
      </c>
      <c r="B79" s="81" t="s">
        <v>143</v>
      </c>
      <c r="C79" s="74">
        <v>0</v>
      </c>
      <c r="D79" s="315">
        <f>TRUNC(C79*$D$22,2)</f>
        <v>0</v>
      </c>
      <c r="E79" s="315"/>
      <c r="F79" s="44"/>
      <c r="G79" s="44"/>
      <c r="H79" s="44"/>
      <c r="I79" s="44"/>
    </row>
    <row r="80" spans="1:9" ht="12" customHeight="1" x14ac:dyDescent="0.25">
      <c r="A80" s="44"/>
      <c r="B80" s="76" t="s">
        <v>211</v>
      </c>
      <c r="C80" s="82">
        <f>SUM(C79:C79)</f>
        <v>0</v>
      </c>
      <c r="D80" s="308">
        <f>SUM(D79:E79)</f>
        <v>0</v>
      </c>
      <c r="E80" s="308"/>
      <c r="F80" s="44"/>
      <c r="G80" s="44"/>
      <c r="H80" s="44"/>
      <c r="I80" s="44"/>
    </row>
    <row r="81" spans="1:9" ht="12" customHeight="1" x14ac:dyDescent="0.25">
      <c r="A81" s="44"/>
      <c r="B81" s="313" t="s">
        <v>144</v>
      </c>
      <c r="C81" s="313"/>
      <c r="D81" s="313"/>
      <c r="E81" s="313"/>
      <c r="F81" s="44"/>
      <c r="G81" s="44"/>
      <c r="H81" s="44"/>
      <c r="I81" s="44"/>
    </row>
    <row r="82" spans="1:9" ht="12" customHeight="1" x14ac:dyDescent="0.25">
      <c r="A82" s="44"/>
      <c r="B82" s="55" t="s">
        <v>242</v>
      </c>
      <c r="C82" s="72"/>
      <c r="D82" s="304" t="s">
        <v>206</v>
      </c>
      <c r="E82" s="304"/>
      <c r="F82" s="44"/>
      <c r="G82" s="44"/>
      <c r="H82" s="44"/>
      <c r="I82" s="44"/>
    </row>
    <row r="83" spans="1:9" ht="12" customHeight="1" x14ac:dyDescent="0.25">
      <c r="A83" s="54" t="s">
        <v>122</v>
      </c>
      <c r="B83" s="316" t="s">
        <v>123</v>
      </c>
      <c r="C83" s="316"/>
      <c r="D83" s="306">
        <f>D76</f>
        <v>83.087688240456004</v>
      </c>
      <c r="E83" s="306"/>
      <c r="F83" s="44"/>
      <c r="G83" s="44"/>
      <c r="H83" s="44"/>
      <c r="I83" s="44"/>
    </row>
    <row r="84" spans="1:9" ht="12" customHeight="1" x14ac:dyDescent="0.25">
      <c r="A84" s="54" t="s">
        <v>141</v>
      </c>
      <c r="B84" s="316" t="s">
        <v>147</v>
      </c>
      <c r="C84" s="316"/>
      <c r="D84" s="306">
        <f>D80</f>
        <v>0</v>
      </c>
      <c r="E84" s="306"/>
      <c r="F84" s="44"/>
      <c r="G84" s="44"/>
      <c r="H84" s="44"/>
      <c r="I84" s="44"/>
    </row>
    <row r="85" spans="1:9" ht="12" customHeight="1" x14ac:dyDescent="0.25">
      <c r="A85" s="44"/>
      <c r="B85" s="312" t="s">
        <v>229</v>
      </c>
      <c r="C85" s="312"/>
      <c r="D85" s="308">
        <f>SUM(D83:E84)</f>
        <v>83.087688240456004</v>
      </c>
      <c r="E85" s="308"/>
      <c r="F85" s="44"/>
      <c r="G85" s="44"/>
      <c r="H85" s="44"/>
      <c r="I85" s="44"/>
    </row>
    <row r="86" spans="1:9" ht="12" customHeight="1" x14ac:dyDescent="0.25">
      <c r="A86" s="44"/>
      <c r="B86" s="313" t="s">
        <v>243</v>
      </c>
      <c r="C86" s="313"/>
      <c r="D86" s="313"/>
      <c r="E86" s="313"/>
      <c r="F86" s="44"/>
      <c r="G86" s="44"/>
      <c r="H86" s="44"/>
      <c r="I86" s="44"/>
    </row>
    <row r="87" spans="1:9" ht="12" customHeight="1" x14ac:dyDescent="0.25">
      <c r="A87" s="44"/>
      <c r="B87" s="313"/>
      <c r="C87" s="313"/>
      <c r="D87" s="313"/>
      <c r="E87" s="313"/>
      <c r="F87" s="44"/>
      <c r="G87" s="44"/>
      <c r="H87" s="44"/>
      <c r="I87" s="44"/>
    </row>
    <row r="88" spans="1:9" ht="12" customHeight="1" x14ac:dyDescent="0.25">
      <c r="A88" s="44"/>
      <c r="B88" s="57" t="s">
        <v>244</v>
      </c>
      <c r="C88" s="58"/>
      <c r="D88" s="304" t="s">
        <v>206</v>
      </c>
      <c r="E88" s="304"/>
      <c r="F88" s="44"/>
      <c r="G88" s="44"/>
      <c r="H88" s="44"/>
      <c r="I88" s="44"/>
    </row>
    <row r="89" spans="1:9" ht="12" customHeight="1" x14ac:dyDescent="0.25">
      <c r="A89" s="54" t="s">
        <v>28</v>
      </c>
      <c r="B89" s="63" t="s">
        <v>151</v>
      </c>
      <c r="C89" s="68"/>
      <c r="D89" s="307">
        <f>Uniformes!F9</f>
        <v>20.153500000000001</v>
      </c>
      <c r="E89" s="307"/>
      <c r="F89" s="44"/>
      <c r="G89" s="44"/>
      <c r="H89" s="44"/>
      <c r="I89" s="44"/>
    </row>
    <row r="90" spans="1:9" ht="12" customHeight="1" x14ac:dyDescent="0.25">
      <c r="A90" s="54" t="s">
        <v>31</v>
      </c>
      <c r="B90" s="63" t="s">
        <v>152</v>
      </c>
      <c r="C90" s="68"/>
      <c r="D90" s="307">
        <v>0</v>
      </c>
      <c r="E90" s="307"/>
      <c r="F90" s="44"/>
      <c r="G90" s="44"/>
      <c r="H90" s="44"/>
      <c r="I90" s="44"/>
    </row>
    <row r="91" spans="1:9" ht="12" customHeight="1" x14ac:dyDescent="0.25">
      <c r="A91" s="54" t="s">
        <v>34</v>
      </c>
      <c r="B91" s="63" t="s">
        <v>153</v>
      </c>
      <c r="C91" s="68"/>
      <c r="D91" s="307">
        <v>0</v>
      </c>
      <c r="E91" s="307"/>
      <c r="F91" s="44"/>
      <c r="G91" s="44"/>
      <c r="H91" s="44"/>
      <c r="I91" s="44"/>
    </row>
    <row r="92" spans="1:9" ht="12" customHeight="1" x14ac:dyDescent="0.25">
      <c r="A92" s="54" t="s">
        <v>36</v>
      </c>
      <c r="B92" s="69" t="s">
        <v>287</v>
      </c>
      <c r="C92" s="68"/>
      <c r="D92" s="307">
        <f>'Relógio Ponto'!F10</f>
        <v>0.11701580882352942</v>
      </c>
      <c r="E92" s="307"/>
      <c r="F92" s="44"/>
      <c r="G92" s="44"/>
      <c r="H92" s="44"/>
      <c r="I92" s="44"/>
    </row>
    <row r="93" spans="1:9" ht="12" customHeight="1" x14ac:dyDescent="0.25">
      <c r="A93" s="44"/>
      <c r="B93" s="61" t="s">
        <v>245</v>
      </c>
      <c r="C93" s="71"/>
      <c r="D93" s="308">
        <f>SUM(D89:E92)</f>
        <v>20.270515808823532</v>
      </c>
      <c r="E93" s="308"/>
      <c r="F93" s="44"/>
      <c r="G93" s="44"/>
      <c r="H93" s="44"/>
      <c r="I93" s="44"/>
    </row>
    <row r="94" spans="1:9" ht="12" customHeight="1" x14ac:dyDescent="0.25">
      <c r="A94" s="44"/>
      <c r="B94" s="313" t="s">
        <v>246</v>
      </c>
      <c r="C94" s="313"/>
      <c r="D94" s="313"/>
      <c r="E94" s="313"/>
      <c r="F94" s="44"/>
      <c r="G94" s="44"/>
      <c r="H94" s="44"/>
      <c r="I94" s="44"/>
    </row>
    <row r="95" spans="1:9" ht="4.5" customHeight="1" x14ac:dyDescent="0.25">
      <c r="A95" s="44"/>
      <c r="B95" s="313"/>
      <c r="C95" s="313"/>
      <c r="D95" s="313"/>
      <c r="E95" s="313"/>
      <c r="F95" s="44"/>
      <c r="G95" s="44"/>
      <c r="H95" s="44"/>
      <c r="I95" s="44"/>
    </row>
    <row r="96" spans="1:9" ht="12" customHeight="1" x14ac:dyDescent="0.25">
      <c r="A96" s="44"/>
      <c r="B96" s="83" t="s">
        <v>247</v>
      </c>
      <c r="C96" s="57"/>
      <c r="D96" s="304" t="s">
        <v>206</v>
      </c>
      <c r="E96" s="304"/>
      <c r="F96" s="44"/>
      <c r="G96" s="44"/>
      <c r="H96" s="44"/>
      <c r="I96" s="44"/>
    </row>
    <row r="97" spans="1:9" ht="12" customHeight="1" x14ac:dyDescent="0.25">
      <c r="A97" s="54" t="s">
        <v>28</v>
      </c>
      <c r="B97" s="67" t="s">
        <v>248</v>
      </c>
      <c r="C97" s="84">
        <v>0.02</v>
      </c>
      <c r="D97" s="306">
        <f>C97*D112</f>
        <v>64.774853319065585</v>
      </c>
      <c r="E97" s="306"/>
      <c r="F97" s="44"/>
      <c r="G97" s="44"/>
      <c r="H97" s="44"/>
      <c r="I97" s="44"/>
    </row>
    <row r="98" spans="1:9" ht="12" customHeight="1" x14ac:dyDescent="0.25">
      <c r="A98" s="54" t="s">
        <v>31</v>
      </c>
      <c r="B98" s="67" t="s">
        <v>249</v>
      </c>
      <c r="C98" s="84">
        <v>0.02</v>
      </c>
      <c r="D98" s="306">
        <f>(D97+D112)*C98</f>
        <v>66.070350385446901</v>
      </c>
      <c r="E98" s="306"/>
      <c r="F98" s="44"/>
      <c r="G98" s="44"/>
      <c r="H98" s="44"/>
      <c r="I98" s="44"/>
    </row>
    <row r="99" spans="1:9" ht="12" customHeight="1" x14ac:dyDescent="0.25">
      <c r="A99" s="85" t="s">
        <v>34</v>
      </c>
      <c r="B99" s="86" t="s">
        <v>250</v>
      </c>
      <c r="C99" s="87"/>
      <c r="D99" s="317"/>
      <c r="E99" s="317"/>
      <c r="F99" s="44"/>
      <c r="G99" s="44"/>
      <c r="H99" s="44"/>
      <c r="I99" s="44"/>
    </row>
    <row r="100" spans="1:9" ht="12" customHeight="1" x14ac:dyDescent="0.25">
      <c r="A100" s="45"/>
      <c r="B100" s="88" t="s">
        <v>251</v>
      </c>
      <c r="C100" s="89">
        <v>0.05</v>
      </c>
      <c r="D100" s="306">
        <f>($D97+$D98+$D112)/(1-$C$103)*C100</f>
        <v>184.43283358827546</v>
      </c>
      <c r="E100" s="306"/>
      <c r="F100" s="45"/>
      <c r="G100" s="45"/>
      <c r="H100" s="45"/>
      <c r="I100" s="45"/>
    </row>
    <row r="101" spans="1:9" ht="12" customHeight="1" x14ac:dyDescent="0.25">
      <c r="A101" s="44"/>
      <c r="B101" s="90" t="s">
        <v>252</v>
      </c>
      <c r="C101" s="84">
        <v>0.03</v>
      </c>
      <c r="D101" s="306">
        <f>($D97+$D98+$D112)/(1-$C$103)*C101</f>
        <v>110.65970015296526</v>
      </c>
      <c r="E101" s="306"/>
      <c r="F101" s="44"/>
      <c r="G101" s="44"/>
      <c r="H101" s="44"/>
      <c r="I101" s="44"/>
    </row>
    <row r="102" spans="1:9" ht="12" customHeight="1" x14ac:dyDescent="0.25">
      <c r="A102" s="44"/>
      <c r="B102" s="90" t="s">
        <v>253</v>
      </c>
      <c r="C102" s="84">
        <v>6.4999999999999997E-3</v>
      </c>
      <c r="D102" s="306">
        <f>($D97+$D98+$D112)/(1-$C$103)*C102</f>
        <v>23.976268366475804</v>
      </c>
      <c r="E102" s="306"/>
      <c r="F102" s="44"/>
      <c r="G102" s="44"/>
      <c r="H102" s="44"/>
      <c r="I102" s="44"/>
    </row>
    <row r="103" spans="1:9" ht="12" customHeight="1" x14ac:dyDescent="0.25">
      <c r="A103" s="44"/>
      <c r="B103" s="85" t="s">
        <v>254</v>
      </c>
      <c r="C103" s="77">
        <f>TRUNC(SUM(C100:C102),8)</f>
        <v>8.6499999999999994E-2</v>
      </c>
      <c r="D103" s="308">
        <f>SUM(D97:E102)</f>
        <v>449.91400581222899</v>
      </c>
      <c r="E103" s="308"/>
      <c r="F103" s="44"/>
      <c r="G103" s="44"/>
      <c r="H103" s="44"/>
      <c r="I103" s="44"/>
    </row>
    <row r="104" spans="1:9" ht="12" customHeight="1" x14ac:dyDescent="0.25">
      <c r="A104" s="44"/>
      <c r="B104" s="302" t="s">
        <v>255</v>
      </c>
      <c r="C104" s="302"/>
      <c r="D104" s="302"/>
      <c r="E104" s="302"/>
      <c r="F104" s="44"/>
      <c r="G104" s="44"/>
      <c r="H104" s="44"/>
      <c r="I104" s="44"/>
    </row>
    <row r="105" spans="1:9" ht="6.75" customHeight="1" x14ac:dyDescent="0.25">
      <c r="A105" s="44"/>
      <c r="B105" s="302"/>
      <c r="C105" s="302"/>
      <c r="D105" s="302"/>
      <c r="E105" s="302"/>
      <c r="F105" s="44"/>
      <c r="G105" s="44"/>
      <c r="H105" s="44"/>
      <c r="I105" s="44"/>
    </row>
    <row r="106" spans="1:9" ht="12" customHeight="1" x14ac:dyDescent="0.25">
      <c r="A106" s="44"/>
      <c r="B106" s="303" t="s">
        <v>256</v>
      </c>
      <c r="C106" s="303"/>
      <c r="D106" s="304" t="s">
        <v>206</v>
      </c>
      <c r="E106" s="304"/>
      <c r="F106" s="44"/>
      <c r="G106" s="44"/>
      <c r="H106" s="44"/>
      <c r="I106" s="44"/>
    </row>
    <row r="107" spans="1:9" ht="12" customHeight="1" x14ac:dyDescent="0.25">
      <c r="A107" s="54" t="s">
        <v>28</v>
      </c>
      <c r="B107" s="319" t="s">
        <v>257</v>
      </c>
      <c r="C107" s="319"/>
      <c r="D107" s="307">
        <f>+D22</f>
        <v>1527.06</v>
      </c>
      <c r="E107" s="307"/>
      <c r="F107" s="44"/>
      <c r="G107" s="44"/>
      <c r="H107" s="44"/>
      <c r="I107" s="44"/>
    </row>
    <row r="108" spans="1:9" ht="12" customHeight="1" x14ac:dyDescent="0.25">
      <c r="A108" s="54" t="s">
        <v>31</v>
      </c>
      <c r="B108" s="319" t="s">
        <v>47</v>
      </c>
      <c r="C108" s="319"/>
      <c r="D108" s="307">
        <f>D55</f>
        <v>1513.7444737440001</v>
      </c>
      <c r="E108" s="307"/>
      <c r="F108" s="44"/>
      <c r="G108" s="44"/>
      <c r="H108" s="44"/>
      <c r="I108" s="44"/>
    </row>
    <row r="109" spans="1:9" ht="12" customHeight="1" x14ac:dyDescent="0.25">
      <c r="A109" s="54" t="s">
        <v>34</v>
      </c>
      <c r="B109" s="319" t="s">
        <v>101</v>
      </c>
      <c r="C109" s="319"/>
      <c r="D109" s="307">
        <f>D65</f>
        <v>94.579988159999999</v>
      </c>
      <c r="E109" s="307"/>
      <c r="F109" s="44"/>
      <c r="G109" s="44"/>
      <c r="H109" s="44"/>
      <c r="I109" s="44"/>
    </row>
    <row r="110" spans="1:9" ht="12" customHeight="1" x14ac:dyDescent="0.25">
      <c r="A110" s="91" t="s">
        <v>36</v>
      </c>
      <c r="B110" s="319" t="s">
        <v>170</v>
      </c>
      <c r="C110" s="319"/>
      <c r="D110" s="307">
        <f>D85</f>
        <v>83.087688240456004</v>
      </c>
      <c r="E110" s="307"/>
      <c r="F110" s="44"/>
      <c r="G110" s="44"/>
      <c r="H110" s="44"/>
      <c r="I110" s="44"/>
    </row>
    <row r="111" spans="1:9" ht="12" customHeight="1" x14ac:dyDescent="0.25">
      <c r="A111" s="92" t="s">
        <v>39</v>
      </c>
      <c r="B111" s="321" t="s">
        <v>148</v>
      </c>
      <c r="C111" s="321"/>
      <c r="D111" s="307">
        <f>D93</f>
        <v>20.270515808823532</v>
      </c>
      <c r="E111" s="307"/>
      <c r="F111" s="44"/>
      <c r="G111" s="44"/>
      <c r="H111" s="44"/>
      <c r="I111" s="44"/>
    </row>
    <row r="112" spans="1:9" ht="12" customHeight="1" x14ac:dyDescent="0.25">
      <c r="A112" s="44"/>
      <c r="B112" s="290" t="s">
        <v>258</v>
      </c>
      <c r="C112" s="290"/>
      <c r="D112" s="318">
        <f>SUM(D107:E111)</f>
        <v>3238.7426659532794</v>
      </c>
      <c r="E112" s="318"/>
      <c r="F112" s="44"/>
      <c r="G112" s="44"/>
      <c r="H112" s="44"/>
      <c r="I112" s="44"/>
    </row>
    <row r="113" spans="1:9" ht="12" customHeight="1" x14ac:dyDescent="0.25">
      <c r="A113" s="54" t="s">
        <v>41</v>
      </c>
      <c r="B113" s="319" t="s">
        <v>259</v>
      </c>
      <c r="C113" s="319"/>
      <c r="D113" s="306">
        <f>+D103</f>
        <v>449.91400581222899</v>
      </c>
      <c r="E113" s="306"/>
      <c r="F113" s="44"/>
      <c r="G113" s="44"/>
      <c r="H113" s="44"/>
      <c r="I113" s="44"/>
    </row>
    <row r="114" spans="1:9" ht="12" customHeight="1" x14ac:dyDescent="0.25">
      <c r="A114" s="44"/>
      <c r="B114" s="320" t="s">
        <v>260</v>
      </c>
      <c r="C114" s="320"/>
      <c r="D114" s="308">
        <f>+D112+D113</f>
        <v>3688.6566717655082</v>
      </c>
      <c r="E114" s="308"/>
      <c r="F114" s="44"/>
      <c r="G114" s="44"/>
      <c r="H114" s="52"/>
      <c r="I114" s="44"/>
    </row>
    <row r="115" spans="1:9" ht="12" customHeight="1" x14ac:dyDescent="0.25">
      <c r="A115" s="50"/>
      <c r="B115" s="320" t="s">
        <v>262</v>
      </c>
      <c r="C115" s="320"/>
      <c r="D115" s="308">
        <f>+D114*E10</f>
        <v>7377.3133435310165</v>
      </c>
      <c r="E115" s="308"/>
      <c r="F115" s="40"/>
      <c r="G115" s="40"/>
      <c r="H115" s="40"/>
      <c r="I115" s="40"/>
    </row>
  </sheetData>
  <mergeCells count="144">
    <mergeCell ref="B114:C114"/>
    <mergeCell ref="D114:E114"/>
    <mergeCell ref="B115:C115"/>
    <mergeCell ref="D115:E115"/>
    <mergeCell ref="B107:C107"/>
    <mergeCell ref="D107:E107"/>
    <mergeCell ref="B108:C108"/>
    <mergeCell ref="D108:E108"/>
    <mergeCell ref="B109:C109"/>
    <mergeCell ref="D109:E109"/>
    <mergeCell ref="B110:C110"/>
    <mergeCell ref="D110:E110"/>
    <mergeCell ref="B111:C111"/>
    <mergeCell ref="D111:E111"/>
    <mergeCell ref="D102:E102"/>
    <mergeCell ref="D103:E103"/>
    <mergeCell ref="B104:E104"/>
    <mergeCell ref="B105:E105"/>
    <mergeCell ref="B106:C106"/>
    <mergeCell ref="D106:E106"/>
    <mergeCell ref="B112:C112"/>
    <mergeCell ref="D112:E112"/>
    <mergeCell ref="B113:C113"/>
    <mergeCell ref="D113:E113"/>
    <mergeCell ref="D93:E93"/>
    <mergeCell ref="B94:E94"/>
    <mergeCell ref="B95:E95"/>
    <mergeCell ref="D96:E96"/>
    <mergeCell ref="D97:E97"/>
    <mergeCell ref="D98:E98"/>
    <mergeCell ref="D99:E99"/>
    <mergeCell ref="D100:E100"/>
    <mergeCell ref="D101:E101"/>
    <mergeCell ref="B85:C85"/>
    <mergeCell ref="D85:E85"/>
    <mergeCell ref="B86:E86"/>
    <mergeCell ref="B87:E87"/>
    <mergeCell ref="D88:E88"/>
    <mergeCell ref="D89:E89"/>
    <mergeCell ref="D90:E90"/>
    <mergeCell ref="D91:E91"/>
    <mergeCell ref="D92:E92"/>
    <mergeCell ref="B77:E77"/>
    <mergeCell ref="D78:E78"/>
    <mergeCell ref="D79:E79"/>
    <mergeCell ref="D80:E80"/>
    <mergeCell ref="B81:E81"/>
    <mergeCell ref="D82:E82"/>
    <mergeCell ref="B83:C83"/>
    <mergeCell ref="D83:E83"/>
    <mergeCell ref="B84:C84"/>
    <mergeCell ref="D84:E84"/>
    <mergeCell ref="B68:E68"/>
    <mergeCell ref="D69:E69"/>
    <mergeCell ref="D70:E70"/>
    <mergeCell ref="D71:E71"/>
    <mergeCell ref="D72:E72"/>
    <mergeCell ref="D73:E73"/>
    <mergeCell ref="D74:E74"/>
    <mergeCell ref="D75:E75"/>
    <mergeCell ref="D76:E76"/>
    <mergeCell ref="D59:E59"/>
    <mergeCell ref="D60:E60"/>
    <mergeCell ref="D61:E61"/>
    <mergeCell ref="D62:E62"/>
    <mergeCell ref="D63:E63"/>
    <mergeCell ref="D64:E64"/>
    <mergeCell ref="D65:E65"/>
    <mergeCell ref="B66:E66"/>
    <mergeCell ref="B67:E67"/>
    <mergeCell ref="B53:C53"/>
    <mergeCell ref="D53:E53"/>
    <mergeCell ref="B54:C54"/>
    <mergeCell ref="D54:E54"/>
    <mergeCell ref="B55:C55"/>
    <mergeCell ref="D55:E55"/>
    <mergeCell ref="B56:E56"/>
    <mergeCell ref="B57:E57"/>
    <mergeCell ref="D58:E58"/>
    <mergeCell ref="D45:E45"/>
    <mergeCell ref="D46:E46"/>
    <mergeCell ref="G46:I46"/>
    <mergeCell ref="D47:E47"/>
    <mergeCell ref="D48:E48"/>
    <mergeCell ref="D49:E49"/>
    <mergeCell ref="B50:E50"/>
    <mergeCell ref="D51:E51"/>
    <mergeCell ref="B52:C52"/>
    <mergeCell ref="D52:E52"/>
    <mergeCell ref="D36:E36"/>
    <mergeCell ref="D37:E37"/>
    <mergeCell ref="D38:E38"/>
    <mergeCell ref="D39:E39"/>
    <mergeCell ref="D40:E40"/>
    <mergeCell ref="B41:E41"/>
    <mergeCell ref="D42:E42"/>
    <mergeCell ref="D43:E43"/>
    <mergeCell ref="D44:E44"/>
    <mergeCell ref="D27:E27"/>
    <mergeCell ref="D28:E28"/>
    <mergeCell ref="D29:E29"/>
    <mergeCell ref="B30:E30"/>
    <mergeCell ref="D31:E31"/>
    <mergeCell ref="D32:E32"/>
    <mergeCell ref="D33:E33"/>
    <mergeCell ref="D34:E34"/>
    <mergeCell ref="D35:E35"/>
    <mergeCell ref="B20:C20"/>
    <mergeCell ref="D20:E20"/>
    <mergeCell ref="B21:C21"/>
    <mergeCell ref="D21:E21"/>
    <mergeCell ref="D22:E22"/>
    <mergeCell ref="B23:E23"/>
    <mergeCell ref="B24:E24"/>
    <mergeCell ref="B25:E25"/>
    <mergeCell ref="D26:E26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8:E8"/>
    <mergeCell ref="B10:B11"/>
    <mergeCell ref="C10:C11"/>
    <mergeCell ref="D10:D11"/>
    <mergeCell ref="E10:E11"/>
    <mergeCell ref="B12:C12"/>
    <mergeCell ref="D12:E12"/>
    <mergeCell ref="B13:E13"/>
    <mergeCell ref="B14:E14"/>
    <mergeCell ref="B1:E1"/>
    <mergeCell ref="B2:E2"/>
    <mergeCell ref="D3:E3"/>
    <mergeCell ref="B4:C4"/>
    <mergeCell ref="D4:E4"/>
    <mergeCell ref="D5:E5"/>
    <mergeCell ref="B6:C6"/>
    <mergeCell ref="D6:E6"/>
    <mergeCell ref="B7:E7"/>
  </mergeCells>
  <pageMargins left="0.75" right="0.75" top="1" bottom="1" header="0.511811023622047" footer="0.511811023622047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BCA60-1BFC-48BD-9152-3EAD936E1738}">
  <dimension ref="A1:I115"/>
  <sheetViews>
    <sheetView topLeftCell="A84" zoomScale="136" zoomScaleNormal="136" workbookViewId="0">
      <selection activeCell="D93" sqref="D93:E93"/>
    </sheetView>
  </sheetViews>
  <sheetFormatPr defaultRowHeight="11.25" x14ac:dyDescent="0.2"/>
  <cols>
    <col min="1" max="1" width="5.5703125" style="50" customWidth="1"/>
    <col min="2" max="2" width="51" style="50" customWidth="1"/>
    <col min="3" max="3" width="9.140625" style="50"/>
    <col min="4" max="4" width="14.85546875" style="50" customWidth="1"/>
    <col min="5" max="5" width="14.28515625" style="50" customWidth="1"/>
    <col min="6" max="6" width="9.140625" style="50"/>
    <col min="7" max="7" width="5.42578125" style="50" customWidth="1"/>
    <col min="8" max="8" width="14.42578125" style="50" customWidth="1"/>
    <col min="9" max="16384" width="9.140625" style="50"/>
  </cols>
  <sheetData>
    <row r="1" spans="1:9" x14ac:dyDescent="0.2">
      <c r="A1" s="93"/>
      <c r="B1" s="53"/>
      <c r="C1" s="53"/>
      <c r="D1" s="53"/>
      <c r="E1" s="53"/>
      <c r="F1" s="44"/>
      <c r="G1" s="44"/>
      <c r="H1" s="44"/>
      <c r="I1" s="44"/>
    </row>
    <row r="2" spans="1:9" x14ac:dyDescent="0.2">
      <c r="A2" s="44"/>
      <c r="B2" s="291" t="s">
        <v>190</v>
      </c>
      <c r="C2" s="291"/>
      <c r="D2" s="291"/>
      <c r="E2" s="291"/>
      <c r="F2" s="44"/>
      <c r="G2" s="44"/>
      <c r="H2" s="44"/>
      <c r="I2" s="44"/>
    </row>
    <row r="3" spans="1:9" x14ac:dyDescent="0.2">
      <c r="A3" s="54" t="s">
        <v>28</v>
      </c>
      <c r="B3" s="55" t="s">
        <v>191</v>
      </c>
      <c r="C3" s="56"/>
      <c r="D3" s="292" t="s">
        <v>443</v>
      </c>
      <c r="E3" s="292"/>
      <c r="F3" s="44"/>
      <c r="G3" s="44"/>
      <c r="H3" s="44"/>
      <c r="I3" s="44"/>
    </row>
    <row r="4" spans="1:9" x14ac:dyDescent="0.2">
      <c r="A4" s="54" t="s">
        <v>31</v>
      </c>
      <c r="B4" s="293" t="s">
        <v>192</v>
      </c>
      <c r="C4" s="293"/>
      <c r="D4" s="294" t="s">
        <v>193</v>
      </c>
      <c r="E4" s="294"/>
      <c r="F4" s="44"/>
      <c r="G4" s="44"/>
      <c r="H4" s="44"/>
      <c r="I4" s="44"/>
    </row>
    <row r="5" spans="1:9" x14ac:dyDescent="0.2">
      <c r="A5" s="54" t="s">
        <v>34</v>
      </c>
      <c r="B5" s="57" t="s">
        <v>194</v>
      </c>
      <c r="C5" s="58"/>
      <c r="D5" s="294" t="s">
        <v>195</v>
      </c>
      <c r="E5" s="294"/>
      <c r="F5" s="44"/>
      <c r="G5" s="44"/>
      <c r="H5" s="44"/>
      <c r="I5" s="44"/>
    </row>
    <row r="6" spans="1:9" x14ac:dyDescent="0.2">
      <c r="A6" s="54" t="s">
        <v>36</v>
      </c>
      <c r="B6" s="293" t="s">
        <v>196</v>
      </c>
      <c r="C6" s="293"/>
      <c r="D6" s="295" t="s">
        <v>197</v>
      </c>
      <c r="E6" s="295"/>
      <c r="F6" s="44"/>
      <c r="G6" s="44"/>
      <c r="H6" s="44"/>
      <c r="I6" s="44"/>
    </row>
    <row r="7" spans="1:9" x14ac:dyDescent="0.2">
      <c r="A7" s="44"/>
      <c r="B7" s="296"/>
      <c r="C7" s="296"/>
      <c r="D7" s="296"/>
      <c r="E7" s="296"/>
      <c r="F7" s="44"/>
      <c r="G7" s="44"/>
      <c r="H7" s="44"/>
      <c r="I7" s="44"/>
    </row>
    <row r="8" spans="1:9" x14ac:dyDescent="0.2">
      <c r="A8" s="44"/>
      <c r="B8" s="297" t="s">
        <v>198</v>
      </c>
      <c r="C8" s="297"/>
      <c r="D8" s="297"/>
      <c r="E8" s="297"/>
      <c r="F8" s="46"/>
      <c r="G8" s="44"/>
      <c r="H8" s="44"/>
      <c r="I8" s="44"/>
    </row>
    <row r="9" spans="1:9" ht="21" x14ac:dyDescent="0.2">
      <c r="A9" s="44"/>
      <c r="B9" s="59" t="s">
        <v>199</v>
      </c>
      <c r="C9" s="59" t="s">
        <v>200</v>
      </c>
      <c r="D9" s="59" t="s">
        <v>19</v>
      </c>
      <c r="E9" s="60" t="s">
        <v>201</v>
      </c>
      <c r="F9" s="44"/>
      <c r="G9" s="44"/>
      <c r="H9" s="44"/>
      <c r="I9" s="44"/>
    </row>
    <row r="10" spans="1:9" x14ac:dyDescent="0.2">
      <c r="A10" s="44"/>
      <c r="B10" s="298" t="s">
        <v>279</v>
      </c>
      <c r="C10" s="298" t="s">
        <v>280</v>
      </c>
      <c r="D10" s="299">
        <v>44562</v>
      </c>
      <c r="E10" s="298">
        <v>7</v>
      </c>
      <c r="F10" s="44"/>
      <c r="G10" s="44"/>
      <c r="H10" s="44"/>
      <c r="I10" s="44"/>
    </row>
    <row r="11" spans="1:9" x14ac:dyDescent="0.2">
      <c r="A11" s="44"/>
      <c r="B11" s="298"/>
      <c r="C11" s="298"/>
      <c r="D11" s="298"/>
      <c r="E11" s="298"/>
      <c r="F11" s="44"/>
      <c r="G11" s="44"/>
      <c r="H11" s="44"/>
      <c r="I11" s="44"/>
    </row>
    <row r="12" spans="1:9" x14ac:dyDescent="0.2">
      <c r="A12" s="44"/>
      <c r="B12" s="300" t="s">
        <v>203</v>
      </c>
      <c r="C12" s="300"/>
      <c r="D12" s="301">
        <v>1213.79</v>
      </c>
      <c r="E12" s="301"/>
      <c r="F12" s="44"/>
      <c r="G12" s="44"/>
      <c r="H12" s="44"/>
      <c r="I12" s="44"/>
    </row>
    <row r="13" spans="1:9" x14ac:dyDescent="0.2">
      <c r="A13" s="44"/>
      <c r="B13" s="302" t="s">
        <v>204</v>
      </c>
      <c r="C13" s="302"/>
      <c r="D13" s="302"/>
      <c r="E13" s="302"/>
      <c r="F13" s="44"/>
      <c r="G13" s="44"/>
      <c r="H13" s="44"/>
      <c r="I13" s="44"/>
    </row>
    <row r="14" spans="1:9" x14ac:dyDescent="0.2">
      <c r="A14" s="44"/>
      <c r="B14" s="302"/>
      <c r="C14" s="302"/>
      <c r="D14" s="302"/>
      <c r="E14" s="302"/>
      <c r="F14" s="44"/>
      <c r="G14" s="44"/>
      <c r="H14" s="44"/>
      <c r="I14" s="44"/>
    </row>
    <row r="15" spans="1:9" x14ac:dyDescent="0.2">
      <c r="A15" s="44"/>
      <c r="B15" s="303" t="s">
        <v>205</v>
      </c>
      <c r="C15" s="303"/>
      <c r="D15" s="304" t="s">
        <v>206</v>
      </c>
      <c r="E15" s="304"/>
      <c r="F15" s="44"/>
      <c r="G15" s="44"/>
      <c r="H15" s="44"/>
      <c r="I15" s="44"/>
    </row>
    <row r="16" spans="1:9" x14ac:dyDescent="0.2">
      <c r="A16" s="54" t="s">
        <v>28</v>
      </c>
      <c r="B16" s="305" t="s">
        <v>207</v>
      </c>
      <c r="C16" s="305"/>
      <c r="D16" s="306">
        <f>+D12</f>
        <v>1213.79</v>
      </c>
      <c r="E16" s="306"/>
      <c r="F16" s="44"/>
      <c r="G16" s="44"/>
      <c r="H16" s="44"/>
      <c r="I16" s="44"/>
    </row>
    <row r="17" spans="1:9" x14ac:dyDescent="0.2">
      <c r="A17" s="54" t="s">
        <v>31</v>
      </c>
      <c r="B17" s="305" t="s">
        <v>208</v>
      </c>
      <c r="C17" s="305"/>
      <c r="D17" s="307">
        <v>0</v>
      </c>
      <c r="E17" s="307"/>
      <c r="F17" s="44"/>
      <c r="G17" s="44"/>
      <c r="H17" s="44"/>
      <c r="I17" s="44"/>
    </row>
    <row r="18" spans="1:9" x14ac:dyDescent="0.2">
      <c r="A18" s="54" t="s">
        <v>34</v>
      </c>
      <c r="B18" s="305" t="s">
        <v>209</v>
      </c>
      <c r="C18" s="305"/>
      <c r="D18" s="307">
        <v>0</v>
      </c>
      <c r="E18" s="307"/>
      <c r="F18" s="44"/>
      <c r="G18" s="44"/>
      <c r="H18" s="44"/>
      <c r="I18" s="44"/>
    </row>
    <row r="19" spans="1:9" x14ac:dyDescent="0.2">
      <c r="A19" s="54" t="s">
        <v>36</v>
      </c>
      <c r="B19" s="305" t="s">
        <v>210</v>
      </c>
      <c r="C19" s="305"/>
      <c r="D19" s="307">
        <v>0</v>
      </c>
      <c r="E19" s="307"/>
      <c r="F19" s="44"/>
      <c r="G19" s="44"/>
      <c r="H19" s="44"/>
      <c r="I19" s="44"/>
    </row>
    <row r="20" spans="1:9" x14ac:dyDescent="0.2">
      <c r="A20" s="54" t="s">
        <v>39</v>
      </c>
      <c r="B20" s="305" t="s">
        <v>40</v>
      </c>
      <c r="C20" s="305"/>
      <c r="D20" s="307">
        <v>0</v>
      </c>
      <c r="E20" s="307"/>
      <c r="F20" s="44"/>
      <c r="G20" s="44"/>
      <c r="H20" s="44"/>
      <c r="I20" s="44"/>
    </row>
    <row r="21" spans="1:9" x14ac:dyDescent="0.2">
      <c r="A21" s="54" t="s">
        <v>41</v>
      </c>
      <c r="B21" s="305" t="s">
        <v>42</v>
      </c>
      <c r="C21" s="305"/>
      <c r="D21" s="307">
        <v>0</v>
      </c>
      <c r="E21" s="307"/>
      <c r="F21" s="44"/>
      <c r="G21" s="44"/>
      <c r="H21" s="44"/>
      <c r="I21" s="44"/>
    </row>
    <row r="22" spans="1:9" x14ac:dyDescent="0.2">
      <c r="A22" s="44"/>
      <c r="B22" s="61" t="s">
        <v>211</v>
      </c>
      <c r="C22" s="62"/>
      <c r="D22" s="308">
        <f>SUM(D16:E21)</f>
        <v>1213.79</v>
      </c>
      <c r="E22" s="308"/>
      <c r="F22" s="44"/>
      <c r="G22" s="44"/>
      <c r="H22" s="44"/>
      <c r="I22" s="44"/>
    </row>
    <row r="23" spans="1:9" x14ac:dyDescent="0.2">
      <c r="A23" s="44"/>
      <c r="B23" s="302" t="s">
        <v>212</v>
      </c>
      <c r="C23" s="302"/>
      <c r="D23" s="302"/>
      <c r="E23" s="302"/>
      <c r="F23" s="44"/>
      <c r="G23" s="44"/>
      <c r="H23" s="44"/>
      <c r="I23" s="44"/>
    </row>
    <row r="24" spans="1:9" x14ac:dyDescent="0.2">
      <c r="A24" s="44"/>
      <c r="B24" s="302"/>
      <c r="C24" s="302"/>
      <c r="D24" s="302"/>
      <c r="E24" s="302"/>
      <c r="F24" s="44"/>
      <c r="G24" s="44"/>
      <c r="H24" s="44"/>
      <c r="I24" s="44"/>
    </row>
    <row r="25" spans="1:9" x14ac:dyDescent="0.2">
      <c r="A25" s="44"/>
      <c r="B25" s="302" t="s">
        <v>213</v>
      </c>
      <c r="C25" s="302"/>
      <c r="D25" s="302"/>
      <c r="E25" s="302"/>
      <c r="F25" s="44"/>
      <c r="G25" s="44"/>
      <c r="H25" s="44"/>
      <c r="I25" s="44"/>
    </row>
    <row r="26" spans="1:9" x14ac:dyDescent="0.2">
      <c r="A26" s="44"/>
      <c r="B26" s="57" t="s">
        <v>214</v>
      </c>
      <c r="C26" s="58"/>
      <c r="D26" s="304" t="s">
        <v>206</v>
      </c>
      <c r="E26" s="304"/>
      <c r="F26" s="44"/>
      <c r="G26" s="44"/>
      <c r="H26" s="44"/>
      <c r="I26" s="44"/>
    </row>
    <row r="27" spans="1:9" x14ac:dyDescent="0.2">
      <c r="A27" s="54" t="s">
        <v>28</v>
      </c>
      <c r="B27" s="63" t="s">
        <v>53</v>
      </c>
      <c r="C27" s="64">
        <v>8.3299999999999999E-2</v>
      </c>
      <c r="D27" s="306">
        <f>(D22*C27)</f>
        <v>101.108707</v>
      </c>
      <c r="E27" s="306"/>
      <c r="F27" s="44"/>
      <c r="G27" s="44"/>
      <c r="H27" s="44"/>
      <c r="I27" s="44"/>
    </row>
    <row r="28" spans="1:9" x14ac:dyDescent="0.2">
      <c r="A28" s="54" t="s">
        <v>31</v>
      </c>
      <c r="B28" s="65" t="s">
        <v>215</v>
      </c>
      <c r="C28" s="64">
        <v>0.121</v>
      </c>
      <c r="D28" s="306">
        <f>(D22*C28)</f>
        <v>146.86858999999998</v>
      </c>
      <c r="E28" s="306"/>
      <c r="F28" s="44"/>
      <c r="G28" s="44"/>
      <c r="H28" s="44"/>
      <c r="I28" s="44"/>
    </row>
    <row r="29" spans="1:9" x14ac:dyDescent="0.2">
      <c r="A29" s="44"/>
      <c r="B29" s="61" t="s">
        <v>211</v>
      </c>
      <c r="C29" s="66">
        <f>SUM(C27:C28)</f>
        <v>0.20429999999999998</v>
      </c>
      <c r="D29" s="308">
        <f>SUM(D27:E28)</f>
        <v>247.97729699999996</v>
      </c>
      <c r="E29" s="308"/>
      <c r="F29" s="44"/>
      <c r="G29" s="44"/>
      <c r="H29" s="44"/>
      <c r="I29" s="44"/>
    </row>
    <row r="30" spans="1:9" x14ac:dyDescent="0.2">
      <c r="A30" s="44"/>
      <c r="B30" s="309" t="s">
        <v>216</v>
      </c>
      <c r="C30" s="309"/>
      <c r="D30" s="309"/>
      <c r="E30" s="309"/>
      <c r="F30" s="44"/>
      <c r="G30" s="44"/>
      <c r="H30" s="44"/>
      <c r="I30" s="44"/>
    </row>
    <row r="31" spans="1:9" x14ac:dyDescent="0.2">
      <c r="A31" s="44"/>
      <c r="B31" s="57" t="s">
        <v>217</v>
      </c>
      <c r="C31" s="58"/>
      <c r="D31" s="304" t="s">
        <v>206</v>
      </c>
      <c r="E31" s="304"/>
      <c r="F31" s="44"/>
      <c r="G31" s="44"/>
      <c r="H31" s="44"/>
      <c r="I31" s="44"/>
    </row>
    <row r="32" spans="1:9" x14ac:dyDescent="0.2">
      <c r="A32" s="54" t="s">
        <v>28</v>
      </c>
      <c r="B32" s="67" t="s">
        <v>70</v>
      </c>
      <c r="C32" s="64">
        <v>0.2</v>
      </c>
      <c r="D32" s="306">
        <f t="shared" ref="D32:D39" si="0">(C32*($D$22+$D$29))</f>
        <v>292.35345939999996</v>
      </c>
      <c r="E32" s="306"/>
      <c r="F32" s="44"/>
      <c r="G32" s="44"/>
      <c r="H32" s="44"/>
      <c r="I32" s="44"/>
    </row>
    <row r="33" spans="1:9" x14ac:dyDescent="0.2">
      <c r="A33" s="54" t="s">
        <v>31</v>
      </c>
      <c r="B33" s="67" t="s">
        <v>218</v>
      </c>
      <c r="C33" s="64">
        <v>1.4999999999999999E-2</v>
      </c>
      <c r="D33" s="306">
        <f t="shared" si="0"/>
        <v>21.926509454999998</v>
      </c>
      <c r="E33" s="306"/>
      <c r="F33" s="44"/>
      <c r="G33" s="44"/>
      <c r="H33" s="44"/>
      <c r="I33" s="44"/>
    </row>
    <row r="34" spans="1:9" x14ac:dyDescent="0.2">
      <c r="A34" s="54" t="s">
        <v>34</v>
      </c>
      <c r="B34" s="67" t="s">
        <v>219</v>
      </c>
      <c r="C34" s="64">
        <v>0.01</v>
      </c>
      <c r="D34" s="306">
        <f t="shared" si="0"/>
        <v>14.617672969999999</v>
      </c>
      <c r="E34" s="306"/>
    </row>
    <row r="35" spans="1:9" x14ac:dyDescent="0.2">
      <c r="A35" s="54" t="s">
        <v>36</v>
      </c>
      <c r="B35" s="67" t="s">
        <v>77</v>
      </c>
      <c r="C35" s="64">
        <v>2E-3</v>
      </c>
      <c r="D35" s="306">
        <f t="shared" si="0"/>
        <v>2.9235345939999999</v>
      </c>
      <c r="E35" s="306"/>
    </row>
    <row r="36" spans="1:9" x14ac:dyDescent="0.2">
      <c r="A36" s="54" t="s">
        <v>39</v>
      </c>
      <c r="B36" s="67" t="s">
        <v>71</v>
      </c>
      <c r="C36" s="64">
        <v>2.5000000000000001E-2</v>
      </c>
      <c r="D36" s="306">
        <f t="shared" si="0"/>
        <v>36.544182424999995</v>
      </c>
      <c r="E36" s="306"/>
      <c r="F36" s="44"/>
      <c r="G36" s="44"/>
      <c r="H36" s="44"/>
      <c r="I36" s="44"/>
    </row>
    <row r="37" spans="1:9" x14ac:dyDescent="0.2">
      <c r="A37" s="54" t="s">
        <v>41</v>
      </c>
      <c r="B37" s="67" t="s">
        <v>79</v>
      </c>
      <c r="C37" s="64">
        <v>0.08</v>
      </c>
      <c r="D37" s="306">
        <f t="shared" si="0"/>
        <v>116.94138375999999</v>
      </c>
      <c r="E37" s="306"/>
      <c r="F37" s="44"/>
      <c r="G37" s="44"/>
      <c r="H37" s="44"/>
      <c r="I37" s="44"/>
    </row>
    <row r="38" spans="1:9" x14ac:dyDescent="0.2">
      <c r="A38" s="54" t="s">
        <v>76</v>
      </c>
      <c r="B38" s="99" t="s">
        <v>220</v>
      </c>
      <c r="C38" s="100">
        <v>0.03</v>
      </c>
      <c r="D38" s="323">
        <f t="shared" si="0"/>
        <v>43.853018909999996</v>
      </c>
      <c r="E38" s="323"/>
      <c r="F38" s="44"/>
      <c r="G38" s="44"/>
      <c r="H38" s="44"/>
      <c r="I38" s="44"/>
    </row>
    <row r="39" spans="1:9" x14ac:dyDescent="0.2">
      <c r="A39" s="54" t="s">
        <v>78</v>
      </c>
      <c r="B39" s="67" t="s">
        <v>75</v>
      </c>
      <c r="C39" s="64">
        <v>6.0000000000000001E-3</v>
      </c>
      <c r="D39" s="306">
        <f t="shared" si="0"/>
        <v>8.7706037820000002</v>
      </c>
      <c r="E39" s="306"/>
      <c r="F39" s="44"/>
      <c r="G39" s="44"/>
      <c r="H39" s="44"/>
      <c r="I39" s="44"/>
    </row>
    <row r="40" spans="1:9" x14ac:dyDescent="0.2">
      <c r="A40" s="44"/>
      <c r="B40" s="61" t="s">
        <v>211</v>
      </c>
      <c r="C40" s="66">
        <f>SUM(C32:C39)</f>
        <v>0.3680000000000001</v>
      </c>
      <c r="D40" s="308">
        <f>SUM(D32:E39)</f>
        <v>537.93036529599988</v>
      </c>
      <c r="E40" s="308"/>
    </row>
    <row r="41" spans="1:9" x14ac:dyDescent="0.2">
      <c r="A41" s="44"/>
      <c r="B41" s="302" t="s">
        <v>221</v>
      </c>
      <c r="C41" s="302"/>
      <c r="D41" s="302"/>
      <c r="E41" s="302"/>
      <c r="F41" s="44"/>
      <c r="G41" s="44"/>
      <c r="H41" s="44"/>
      <c r="I41" s="44"/>
    </row>
    <row r="42" spans="1:9" x14ac:dyDescent="0.2">
      <c r="A42" s="44"/>
      <c r="B42" s="57" t="s">
        <v>222</v>
      </c>
      <c r="C42" s="58"/>
      <c r="D42" s="304" t="s">
        <v>206</v>
      </c>
      <c r="E42" s="304"/>
      <c r="F42" s="44"/>
      <c r="G42" s="44"/>
      <c r="H42" s="44"/>
      <c r="I42" s="44"/>
    </row>
    <row r="43" spans="1:9" x14ac:dyDescent="0.2">
      <c r="A43" s="54" t="s">
        <v>28</v>
      </c>
      <c r="B43" s="63" t="s">
        <v>281</v>
      </c>
      <c r="C43" s="104"/>
      <c r="D43" s="307">
        <v>0</v>
      </c>
      <c r="E43" s="307"/>
      <c r="F43" s="44"/>
      <c r="G43" s="44" t="s">
        <v>282</v>
      </c>
      <c r="H43" s="44"/>
      <c r="I43" s="44"/>
    </row>
    <row r="44" spans="1:9" x14ac:dyDescent="0.2">
      <c r="A44" s="54" t="s">
        <v>31</v>
      </c>
      <c r="B44" s="103" t="s">
        <v>88</v>
      </c>
      <c r="C44" s="105"/>
      <c r="D44" s="324">
        <v>460</v>
      </c>
      <c r="E44" s="324"/>
      <c r="F44" s="48"/>
      <c r="G44" s="44"/>
      <c r="H44" s="44"/>
      <c r="I44" s="44"/>
    </row>
    <row r="45" spans="1:9" x14ac:dyDescent="0.2">
      <c r="A45" s="54" t="s">
        <v>34</v>
      </c>
      <c r="B45" s="102" t="s">
        <v>225</v>
      </c>
      <c r="C45" s="105"/>
      <c r="D45" s="324">
        <v>0</v>
      </c>
      <c r="E45" s="324"/>
      <c r="F45" s="48"/>
      <c r="G45" s="44"/>
      <c r="H45" s="44"/>
      <c r="I45" s="44"/>
    </row>
    <row r="46" spans="1:9" x14ac:dyDescent="0.2">
      <c r="A46" s="54" t="s">
        <v>36</v>
      </c>
      <c r="B46" s="102" t="s">
        <v>92</v>
      </c>
      <c r="C46" s="105"/>
      <c r="D46" s="324">
        <v>20</v>
      </c>
      <c r="E46" s="324"/>
      <c r="F46" s="48"/>
      <c r="G46" s="310" t="s">
        <v>226</v>
      </c>
      <c r="H46" s="310"/>
      <c r="I46" s="310"/>
    </row>
    <row r="47" spans="1:9" x14ac:dyDescent="0.2">
      <c r="A47" s="54" t="s">
        <v>39</v>
      </c>
      <c r="B47" s="102" t="s">
        <v>227</v>
      </c>
      <c r="C47" s="105"/>
      <c r="D47" s="324">
        <v>5</v>
      </c>
      <c r="E47" s="324"/>
      <c r="F47" s="48"/>
      <c r="G47" s="41" t="s">
        <v>223</v>
      </c>
      <c r="H47" s="41" t="s">
        <v>278</v>
      </c>
      <c r="I47" s="41" t="s">
        <v>224</v>
      </c>
    </row>
    <row r="48" spans="1:9" x14ac:dyDescent="0.2">
      <c r="A48" s="54" t="s">
        <v>41</v>
      </c>
      <c r="B48" s="102" t="s">
        <v>228</v>
      </c>
      <c r="C48" s="105"/>
      <c r="D48" s="324">
        <v>40</v>
      </c>
      <c r="E48" s="324"/>
      <c r="F48" s="48"/>
      <c r="G48" s="41">
        <v>22</v>
      </c>
      <c r="H48" s="43">
        <v>20.91</v>
      </c>
      <c r="I48" s="43">
        <f>460</f>
        <v>460</v>
      </c>
    </row>
    <row r="49" spans="1:9" x14ac:dyDescent="0.2">
      <c r="A49" s="44"/>
      <c r="B49" s="61" t="s">
        <v>229</v>
      </c>
      <c r="C49" s="71"/>
      <c r="D49" s="308">
        <f>SUM(D43:E48)</f>
        <v>525</v>
      </c>
      <c r="E49" s="308"/>
      <c r="F49" s="48"/>
      <c r="G49" s="44"/>
      <c r="H49" s="44"/>
      <c r="I49" s="44"/>
    </row>
    <row r="50" spans="1:9" x14ac:dyDescent="0.2">
      <c r="A50" s="44"/>
      <c r="B50" s="302" t="s">
        <v>98</v>
      </c>
      <c r="C50" s="302"/>
      <c r="D50" s="302"/>
      <c r="E50" s="302"/>
      <c r="F50" s="48"/>
      <c r="G50" s="44"/>
      <c r="H50" s="44"/>
      <c r="I50" s="44"/>
    </row>
    <row r="51" spans="1:9" x14ac:dyDescent="0.2">
      <c r="A51" s="44"/>
      <c r="B51" s="55" t="s">
        <v>230</v>
      </c>
      <c r="C51" s="72"/>
      <c r="D51" s="304" t="s">
        <v>206</v>
      </c>
      <c r="E51" s="304"/>
      <c r="F51" s="48"/>
      <c r="G51" s="44"/>
      <c r="H51" s="44"/>
      <c r="I51" s="44"/>
    </row>
    <row r="52" spans="1:9" x14ac:dyDescent="0.2">
      <c r="A52" s="54" t="s">
        <v>51</v>
      </c>
      <c r="B52" s="311" t="s">
        <v>231</v>
      </c>
      <c r="C52" s="311"/>
      <c r="D52" s="307">
        <f>+D29</f>
        <v>247.97729699999996</v>
      </c>
      <c r="E52" s="307"/>
      <c r="F52" s="44"/>
      <c r="G52" s="44"/>
      <c r="H52" s="44"/>
      <c r="I52" s="44"/>
    </row>
    <row r="53" spans="1:9" x14ac:dyDescent="0.2">
      <c r="A53" s="54" t="s">
        <v>67</v>
      </c>
      <c r="B53" s="311" t="s">
        <v>68</v>
      </c>
      <c r="C53" s="311"/>
      <c r="D53" s="307">
        <f>+D40</f>
        <v>537.93036529599988</v>
      </c>
      <c r="E53" s="307"/>
      <c r="F53" s="44"/>
      <c r="G53" s="44"/>
      <c r="H53" s="44"/>
      <c r="I53" s="44"/>
    </row>
    <row r="54" spans="1:9" x14ac:dyDescent="0.2">
      <c r="A54" s="54" t="s">
        <v>85</v>
      </c>
      <c r="B54" s="311" t="s">
        <v>86</v>
      </c>
      <c r="C54" s="311"/>
      <c r="D54" s="307">
        <f>+D49</f>
        <v>525</v>
      </c>
      <c r="E54" s="307"/>
      <c r="F54" s="44"/>
      <c r="G54" s="44"/>
      <c r="H54" s="44"/>
      <c r="I54" s="44"/>
    </row>
    <row r="55" spans="1:9" x14ac:dyDescent="0.2">
      <c r="A55" s="44"/>
      <c r="B55" s="312" t="s">
        <v>211</v>
      </c>
      <c r="C55" s="312"/>
      <c r="D55" s="308">
        <f>SUM(D52:E54)</f>
        <v>1310.9076622959999</v>
      </c>
      <c r="E55" s="308"/>
      <c r="F55" s="44"/>
      <c r="G55" s="44"/>
      <c r="H55" s="44"/>
      <c r="I55" s="44"/>
    </row>
    <row r="56" spans="1:9" x14ac:dyDescent="0.2">
      <c r="A56" s="44"/>
      <c r="B56" s="313" t="s">
        <v>232</v>
      </c>
      <c r="C56" s="313"/>
      <c r="D56" s="313"/>
      <c r="E56" s="313"/>
      <c r="F56" s="44"/>
      <c r="G56" s="44"/>
      <c r="H56" s="44"/>
      <c r="I56" s="44"/>
    </row>
    <row r="57" spans="1:9" x14ac:dyDescent="0.2">
      <c r="B57" s="314"/>
      <c r="C57" s="314"/>
      <c r="D57" s="314"/>
      <c r="E57" s="314"/>
      <c r="F57" s="44"/>
      <c r="G57" s="44"/>
      <c r="H57" s="44"/>
      <c r="I57" s="44"/>
    </row>
    <row r="58" spans="1:9" x14ac:dyDescent="0.2">
      <c r="A58" s="44"/>
      <c r="B58" s="55" t="s">
        <v>233</v>
      </c>
      <c r="C58" s="72"/>
      <c r="D58" s="304" t="s">
        <v>206</v>
      </c>
      <c r="E58" s="304"/>
    </row>
    <row r="59" spans="1:9" x14ac:dyDescent="0.2">
      <c r="A59" s="54" t="s">
        <v>28</v>
      </c>
      <c r="B59" s="73" t="s">
        <v>104</v>
      </c>
      <c r="C59" s="74">
        <v>4.1999999999999997E-3</v>
      </c>
      <c r="D59" s="306">
        <f t="shared" ref="D59:D64" si="1">C59*$D$22</f>
        <v>5.0979179999999999</v>
      </c>
      <c r="E59" s="306"/>
      <c r="F59" s="44"/>
      <c r="G59" s="44"/>
      <c r="H59" s="44"/>
      <c r="I59" s="44"/>
    </row>
    <row r="60" spans="1:9" x14ac:dyDescent="0.2">
      <c r="A60" s="54" t="s">
        <v>31</v>
      </c>
      <c r="B60" s="73" t="s">
        <v>234</v>
      </c>
      <c r="C60" s="74">
        <f>C59*C37</f>
        <v>3.3599999999999998E-4</v>
      </c>
      <c r="D60" s="306">
        <f t="shared" si="1"/>
        <v>0.40783343999999999</v>
      </c>
      <c r="E60" s="306"/>
      <c r="F60" s="44"/>
      <c r="G60" s="44"/>
      <c r="H60" s="44"/>
      <c r="I60" s="44"/>
    </row>
    <row r="61" spans="1:9" x14ac:dyDescent="0.2">
      <c r="A61" s="54" t="s">
        <v>34</v>
      </c>
      <c r="B61" s="73" t="s">
        <v>235</v>
      </c>
      <c r="C61" s="75">
        <v>1.6000000000000001E-3</v>
      </c>
      <c r="D61" s="306">
        <f t="shared" si="1"/>
        <v>1.942064</v>
      </c>
      <c r="E61" s="306"/>
      <c r="F61" s="44"/>
      <c r="G61" s="44"/>
      <c r="H61" s="44"/>
      <c r="I61" s="44"/>
    </row>
    <row r="62" spans="1:9" x14ac:dyDescent="0.2">
      <c r="A62" s="54" t="s">
        <v>36</v>
      </c>
      <c r="B62" s="73" t="s">
        <v>236</v>
      </c>
      <c r="C62" s="75">
        <v>1.8499999999999999E-2</v>
      </c>
      <c r="D62" s="306">
        <f t="shared" si="1"/>
        <v>22.455114999999999</v>
      </c>
      <c r="E62" s="306"/>
      <c r="F62" s="44"/>
      <c r="G62" s="44"/>
      <c r="H62" s="51"/>
      <c r="I62" s="44"/>
    </row>
    <row r="63" spans="1:9" ht="22.5" x14ac:dyDescent="0.2">
      <c r="A63" s="54" t="s">
        <v>39</v>
      </c>
      <c r="B63" s="73" t="s">
        <v>237</v>
      </c>
      <c r="C63" s="74">
        <v>6.8999999999999999E-3</v>
      </c>
      <c r="D63" s="306">
        <f t="shared" si="1"/>
        <v>8.3751509999999989</v>
      </c>
      <c r="E63" s="306"/>
      <c r="F63" s="44"/>
      <c r="G63" s="44"/>
      <c r="H63" s="44"/>
      <c r="I63" s="44"/>
    </row>
    <row r="64" spans="1:9" x14ac:dyDescent="0.2">
      <c r="A64" s="54" t="s">
        <v>41</v>
      </c>
      <c r="B64" s="73" t="s">
        <v>108</v>
      </c>
      <c r="C64" s="75">
        <v>3.04E-2</v>
      </c>
      <c r="D64" s="306">
        <f t="shared" si="1"/>
        <v>36.899215999999996</v>
      </c>
      <c r="E64" s="306"/>
      <c r="F64" s="44"/>
      <c r="G64" s="44"/>
      <c r="H64" s="44"/>
      <c r="I64" s="44"/>
    </row>
    <row r="65" spans="1:9" x14ac:dyDescent="0.2">
      <c r="A65" s="44"/>
      <c r="B65" s="76" t="s">
        <v>229</v>
      </c>
      <c r="C65" s="77">
        <f>TRUNC(SUM(C59:C64),8)</f>
        <v>6.1935999999999998E-2</v>
      </c>
      <c r="D65" s="308">
        <f>SUM(D59:E64)</f>
        <v>75.17729743999999</v>
      </c>
      <c r="E65" s="308"/>
      <c r="F65" s="44"/>
      <c r="G65" s="44"/>
      <c r="H65" s="44"/>
      <c r="I65" s="44"/>
    </row>
    <row r="66" spans="1:9" x14ac:dyDescent="0.2">
      <c r="A66" s="44"/>
      <c r="B66" s="313" t="s">
        <v>238</v>
      </c>
      <c r="C66" s="313"/>
      <c r="D66" s="313"/>
      <c r="E66" s="313"/>
      <c r="F66" s="44"/>
      <c r="G66" s="44"/>
      <c r="H66" s="44"/>
      <c r="I66" s="44"/>
    </row>
    <row r="67" spans="1:9" x14ac:dyDescent="0.2">
      <c r="A67" s="44"/>
      <c r="B67" s="313"/>
      <c r="C67" s="313"/>
      <c r="D67" s="313"/>
      <c r="E67" s="313"/>
      <c r="F67" s="44"/>
      <c r="G67" s="44"/>
      <c r="H67" s="44"/>
      <c r="I67" s="44"/>
    </row>
    <row r="68" spans="1:9" x14ac:dyDescent="0.2">
      <c r="A68" s="44"/>
      <c r="B68" s="313" t="s">
        <v>121</v>
      </c>
      <c r="C68" s="313"/>
      <c r="D68" s="313"/>
      <c r="E68" s="313"/>
      <c r="F68" s="44"/>
      <c r="G68" s="44"/>
      <c r="H68" s="44"/>
      <c r="I68" s="44"/>
    </row>
    <row r="69" spans="1:9" x14ac:dyDescent="0.2">
      <c r="A69" s="44"/>
      <c r="B69" s="55" t="s">
        <v>239</v>
      </c>
      <c r="C69" s="72"/>
      <c r="D69" s="304" t="s">
        <v>206</v>
      </c>
      <c r="E69" s="304"/>
      <c r="F69" s="48"/>
      <c r="G69" s="44"/>
      <c r="H69" s="48"/>
      <c r="I69" s="44"/>
    </row>
    <row r="70" spans="1:9" x14ac:dyDescent="0.2">
      <c r="A70" s="54" t="s">
        <v>28</v>
      </c>
      <c r="B70" s="78" t="s">
        <v>125</v>
      </c>
      <c r="C70" s="94">
        <v>1.6199999999999999E-2</v>
      </c>
      <c r="D70" s="306">
        <f>C70*(D65+D55+D22)</f>
        <v>42.117974347723198</v>
      </c>
      <c r="E70" s="306"/>
      <c r="F70" s="44"/>
      <c r="G70" s="44"/>
      <c r="H70" s="48"/>
      <c r="I70" s="44"/>
    </row>
    <row r="71" spans="1:9" x14ac:dyDescent="0.2">
      <c r="A71" s="54" t="s">
        <v>31</v>
      </c>
      <c r="B71" s="78" t="s">
        <v>126</v>
      </c>
      <c r="C71" s="74">
        <v>5.5999999999999999E-3</v>
      </c>
      <c r="D71" s="306">
        <f>C71*(D65+D55+D22)</f>
        <v>14.5592997745216</v>
      </c>
      <c r="E71" s="306"/>
      <c r="F71" s="44"/>
      <c r="G71" s="44"/>
      <c r="H71" s="48"/>
      <c r="I71" s="44"/>
    </row>
    <row r="72" spans="1:9" x14ac:dyDescent="0.2">
      <c r="A72" s="54" t="s">
        <v>34</v>
      </c>
      <c r="B72" s="78" t="s">
        <v>127</v>
      </c>
      <c r="C72" s="74">
        <v>2.9999999999999997E-4</v>
      </c>
      <c r="D72" s="306">
        <f>C72*(D65+D55+D22)</f>
        <v>0.77996248792080003</v>
      </c>
      <c r="E72" s="306"/>
      <c r="F72" s="44"/>
      <c r="G72" s="44"/>
      <c r="H72" s="48"/>
      <c r="I72" s="44"/>
    </row>
    <row r="73" spans="1:9" x14ac:dyDescent="0.2">
      <c r="A73" s="54" t="s">
        <v>36</v>
      </c>
      <c r="B73" s="78" t="s">
        <v>128</v>
      </c>
      <c r="C73" s="74">
        <v>3.3E-3</v>
      </c>
      <c r="D73" s="306">
        <f>C73*(D65+D55+D22)</f>
        <v>8.5795873671288003</v>
      </c>
      <c r="E73" s="306"/>
      <c r="F73" s="44"/>
      <c r="G73" s="44"/>
      <c r="H73" s="48"/>
      <c r="I73" s="44"/>
    </row>
    <row r="74" spans="1:9" x14ac:dyDescent="0.2">
      <c r="A74" s="54" t="s">
        <v>39</v>
      </c>
      <c r="B74" s="78" t="s">
        <v>129</v>
      </c>
      <c r="C74" s="74">
        <v>1.1000000000000001E-3</v>
      </c>
      <c r="D74" s="306">
        <f>C74*(D65+D55+D22)</f>
        <v>2.8598624557096004</v>
      </c>
      <c r="E74" s="306"/>
      <c r="F74" s="44"/>
      <c r="G74" s="44"/>
      <c r="H74" s="48"/>
      <c r="I74" s="44"/>
    </row>
    <row r="75" spans="1:9" x14ac:dyDescent="0.2">
      <c r="A75" s="54" t="s">
        <v>41</v>
      </c>
      <c r="B75" s="78" t="s">
        <v>240</v>
      </c>
      <c r="C75" s="74">
        <v>0</v>
      </c>
      <c r="D75" s="306">
        <f>C75*$D$22</f>
        <v>0</v>
      </c>
      <c r="E75" s="306"/>
      <c r="F75" s="44"/>
      <c r="G75" s="44"/>
      <c r="H75" s="48"/>
      <c r="I75" s="44"/>
    </row>
    <row r="76" spans="1:9" x14ac:dyDescent="0.2">
      <c r="A76" s="44"/>
      <c r="B76" s="76" t="s">
        <v>211</v>
      </c>
      <c r="C76" s="82">
        <f>SUM(C70:C75)</f>
        <v>2.6500000000000003E-2</v>
      </c>
      <c r="D76" s="308">
        <f>SUM(D70:E75)</f>
        <v>68.896686433003993</v>
      </c>
      <c r="E76" s="308"/>
      <c r="F76" s="44"/>
      <c r="G76" s="44"/>
      <c r="H76" s="48"/>
      <c r="I76" s="44"/>
    </row>
    <row r="77" spans="1:9" x14ac:dyDescent="0.2">
      <c r="A77" s="44"/>
      <c r="B77" s="314"/>
      <c r="C77" s="314"/>
      <c r="D77" s="314"/>
      <c r="E77" s="314"/>
      <c r="F77" s="44"/>
      <c r="G77" s="44"/>
      <c r="H77" s="48"/>
      <c r="I77" s="44"/>
    </row>
    <row r="78" spans="1:9" x14ac:dyDescent="0.2">
      <c r="A78" s="44"/>
      <c r="B78" s="55" t="s">
        <v>241</v>
      </c>
      <c r="C78" s="72"/>
      <c r="D78" s="304" t="s">
        <v>206</v>
      </c>
      <c r="E78" s="304"/>
      <c r="F78" s="44"/>
      <c r="G78" s="44"/>
      <c r="H78" s="44"/>
      <c r="I78" s="44"/>
    </row>
    <row r="79" spans="1:9" x14ac:dyDescent="0.2">
      <c r="A79" s="54" t="s">
        <v>28</v>
      </c>
      <c r="B79" s="81" t="s">
        <v>143</v>
      </c>
      <c r="C79" s="74">
        <v>0</v>
      </c>
      <c r="D79" s="315">
        <f>TRUNC(C79*$D$22,2)</f>
        <v>0</v>
      </c>
      <c r="E79" s="315"/>
      <c r="F79" s="44"/>
      <c r="G79" s="44"/>
      <c r="H79" s="44"/>
      <c r="I79" s="44"/>
    </row>
    <row r="80" spans="1:9" x14ac:dyDescent="0.2">
      <c r="A80" s="44"/>
      <c r="B80" s="76" t="s">
        <v>211</v>
      </c>
      <c r="C80" s="82">
        <f>SUM(C79:C79)</f>
        <v>0</v>
      </c>
      <c r="D80" s="308">
        <f>SUM(D79:E79)</f>
        <v>0</v>
      </c>
      <c r="E80" s="308"/>
      <c r="F80" s="44"/>
      <c r="G80" s="44"/>
      <c r="H80" s="44"/>
      <c r="I80" s="44"/>
    </row>
    <row r="81" spans="1:9" x14ac:dyDescent="0.2">
      <c r="A81" s="44"/>
      <c r="B81" s="313" t="s">
        <v>144</v>
      </c>
      <c r="C81" s="313"/>
      <c r="D81" s="313"/>
      <c r="E81" s="313"/>
      <c r="F81" s="44"/>
      <c r="G81" s="44"/>
      <c r="H81" s="44"/>
      <c r="I81" s="44"/>
    </row>
    <row r="82" spans="1:9" x14ac:dyDescent="0.2">
      <c r="A82" s="44"/>
      <c r="B82" s="55" t="s">
        <v>242</v>
      </c>
      <c r="C82" s="72"/>
      <c r="D82" s="304" t="s">
        <v>206</v>
      </c>
      <c r="E82" s="304"/>
      <c r="F82" s="44"/>
      <c r="G82" s="44"/>
      <c r="H82" s="44"/>
      <c r="I82" s="44"/>
    </row>
    <row r="83" spans="1:9" x14ac:dyDescent="0.2">
      <c r="A83" s="54" t="s">
        <v>122</v>
      </c>
      <c r="B83" s="316" t="s">
        <v>123</v>
      </c>
      <c r="C83" s="316"/>
      <c r="D83" s="306">
        <f>D76</f>
        <v>68.896686433003993</v>
      </c>
      <c r="E83" s="306"/>
      <c r="F83" s="44"/>
      <c r="G83" s="44"/>
      <c r="H83" s="44"/>
      <c r="I83" s="44"/>
    </row>
    <row r="84" spans="1:9" x14ac:dyDescent="0.2">
      <c r="A84" s="54" t="s">
        <v>141</v>
      </c>
      <c r="B84" s="316" t="s">
        <v>147</v>
      </c>
      <c r="C84" s="316"/>
      <c r="D84" s="306">
        <f>D80</f>
        <v>0</v>
      </c>
      <c r="E84" s="306"/>
      <c r="F84" s="44"/>
      <c r="G84" s="44"/>
      <c r="H84" s="44"/>
      <c r="I84" s="44"/>
    </row>
    <row r="85" spans="1:9" x14ac:dyDescent="0.2">
      <c r="A85" s="44"/>
      <c r="B85" s="312" t="s">
        <v>229</v>
      </c>
      <c r="C85" s="312"/>
      <c r="D85" s="308">
        <f>SUM(D83:E84)</f>
        <v>68.896686433003993</v>
      </c>
      <c r="E85" s="308"/>
      <c r="F85" s="44"/>
      <c r="G85" s="44"/>
      <c r="H85" s="44"/>
      <c r="I85" s="44"/>
    </row>
    <row r="86" spans="1:9" x14ac:dyDescent="0.2">
      <c r="A86" s="44"/>
      <c r="B86" s="313" t="s">
        <v>243</v>
      </c>
      <c r="C86" s="313"/>
      <c r="D86" s="313"/>
      <c r="E86" s="313"/>
      <c r="F86" s="44"/>
      <c r="G86" s="44"/>
      <c r="H86" s="44"/>
      <c r="I86" s="44"/>
    </row>
    <row r="87" spans="1:9" x14ac:dyDescent="0.2">
      <c r="A87" s="44"/>
      <c r="B87" s="313"/>
      <c r="C87" s="313"/>
      <c r="D87" s="313"/>
      <c r="E87" s="313"/>
      <c r="F87" s="44"/>
      <c r="G87" s="44"/>
      <c r="H87" s="44"/>
      <c r="I87" s="44"/>
    </row>
    <row r="88" spans="1:9" x14ac:dyDescent="0.2">
      <c r="A88" s="44"/>
      <c r="B88" s="57" t="s">
        <v>244</v>
      </c>
      <c r="C88" s="58"/>
      <c r="D88" s="304" t="s">
        <v>206</v>
      </c>
      <c r="E88" s="304"/>
      <c r="F88" s="44"/>
      <c r="G88" s="44"/>
      <c r="H88" s="44"/>
      <c r="I88" s="44"/>
    </row>
    <row r="89" spans="1:9" x14ac:dyDescent="0.2">
      <c r="A89" s="54" t="s">
        <v>28</v>
      </c>
      <c r="B89" s="63" t="s">
        <v>151</v>
      </c>
      <c r="C89" s="68"/>
      <c r="D89" s="307">
        <f>Uniformes!F9</f>
        <v>20.153500000000001</v>
      </c>
      <c r="E89" s="307"/>
      <c r="F89" s="44"/>
      <c r="G89" s="44"/>
      <c r="H89" s="44"/>
      <c r="I89" s="44"/>
    </row>
    <row r="90" spans="1:9" x14ac:dyDescent="0.2">
      <c r="A90" s="54" t="s">
        <v>31</v>
      </c>
      <c r="B90" s="63" t="s">
        <v>152</v>
      </c>
      <c r="C90" s="68"/>
      <c r="D90" s="307">
        <v>0</v>
      </c>
      <c r="E90" s="307"/>
      <c r="F90" s="44"/>
      <c r="G90" s="44"/>
      <c r="H90" s="44"/>
      <c r="I90" s="44"/>
    </row>
    <row r="91" spans="1:9" x14ac:dyDescent="0.2">
      <c r="A91" s="54" t="s">
        <v>34</v>
      </c>
      <c r="B91" s="63" t="s">
        <v>153</v>
      </c>
      <c r="C91" s="68"/>
      <c r="D91" s="307">
        <f>'[1]Materiais e Equipamentos'!F8</f>
        <v>0</v>
      </c>
      <c r="E91" s="307"/>
      <c r="F91" s="44"/>
      <c r="G91" s="44"/>
      <c r="H91" s="44"/>
      <c r="I91" s="44"/>
    </row>
    <row r="92" spans="1:9" x14ac:dyDescent="0.2">
      <c r="A92" s="54" t="s">
        <v>36</v>
      </c>
      <c r="B92" s="69" t="s">
        <v>287</v>
      </c>
      <c r="C92" s="68"/>
      <c r="D92" s="307">
        <f>'Relógio Ponto'!F10</f>
        <v>0.11701580882352942</v>
      </c>
      <c r="E92" s="307"/>
      <c r="F92" s="44"/>
      <c r="G92" s="44"/>
      <c r="H92" s="44"/>
      <c r="I92" s="44"/>
    </row>
    <row r="93" spans="1:9" x14ac:dyDescent="0.2">
      <c r="A93" s="44"/>
      <c r="B93" s="61" t="s">
        <v>245</v>
      </c>
      <c r="C93" s="71"/>
      <c r="D93" s="308">
        <f>SUM(D89:E92)</f>
        <v>20.270515808823532</v>
      </c>
      <c r="E93" s="308"/>
      <c r="F93" s="44"/>
      <c r="G93" s="44"/>
      <c r="H93" s="44"/>
      <c r="I93" s="44"/>
    </row>
    <row r="94" spans="1:9" x14ac:dyDescent="0.2">
      <c r="A94" s="44"/>
      <c r="B94" s="313" t="s">
        <v>246</v>
      </c>
      <c r="C94" s="313"/>
      <c r="D94" s="313"/>
      <c r="E94" s="313"/>
      <c r="F94" s="44"/>
      <c r="G94" s="44"/>
      <c r="H94" s="44"/>
      <c r="I94" s="44"/>
    </row>
    <row r="95" spans="1:9" x14ac:dyDescent="0.2">
      <c r="A95" s="44"/>
      <c r="B95" s="313"/>
      <c r="C95" s="313"/>
      <c r="D95" s="313"/>
      <c r="E95" s="313"/>
      <c r="F95" s="44"/>
      <c r="G95" s="44"/>
      <c r="H95" s="44"/>
      <c r="I95" s="44"/>
    </row>
    <row r="96" spans="1:9" x14ac:dyDescent="0.2">
      <c r="A96" s="44"/>
      <c r="B96" s="83" t="s">
        <v>247</v>
      </c>
      <c r="C96" s="57"/>
      <c r="D96" s="304" t="s">
        <v>206</v>
      </c>
      <c r="E96" s="304"/>
      <c r="F96" s="44"/>
      <c r="G96" s="44"/>
      <c r="H96" s="44"/>
      <c r="I96" s="44"/>
    </row>
    <row r="97" spans="1:9" x14ac:dyDescent="0.2">
      <c r="A97" s="54" t="s">
        <v>28</v>
      </c>
      <c r="B97" s="99" t="s">
        <v>248</v>
      </c>
      <c r="C97" s="101">
        <v>0.02</v>
      </c>
      <c r="D97" s="323">
        <f>C97*D112</f>
        <v>53.780843239556553</v>
      </c>
      <c r="E97" s="323"/>
      <c r="F97" s="44"/>
      <c r="G97" s="44"/>
      <c r="H97" s="44"/>
      <c r="I97" s="44"/>
    </row>
    <row r="98" spans="1:9" x14ac:dyDescent="0.2">
      <c r="A98" s="54" t="s">
        <v>31</v>
      </c>
      <c r="B98" s="99" t="s">
        <v>249</v>
      </c>
      <c r="C98" s="101">
        <v>0.02</v>
      </c>
      <c r="D98" s="323">
        <f>(D97+D112)*C98</f>
        <v>54.856460104347683</v>
      </c>
      <c r="E98" s="323"/>
      <c r="F98" s="44"/>
      <c r="G98" s="44"/>
      <c r="H98" s="44"/>
      <c r="I98" s="44"/>
    </row>
    <row r="99" spans="1:9" x14ac:dyDescent="0.2">
      <c r="A99" s="85" t="s">
        <v>34</v>
      </c>
      <c r="B99" s="86" t="s">
        <v>250</v>
      </c>
      <c r="C99" s="87"/>
      <c r="D99" s="317"/>
      <c r="E99" s="317"/>
      <c r="F99" s="44"/>
      <c r="G99" s="44"/>
      <c r="H99" s="44"/>
      <c r="I99" s="44"/>
    </row>
    <row r="100" spans="1:9" x14ac:dyDescent="0.2">
      <c r="A100" s="45"/>
      <c r="B100" s="88" t="s">
        <v>251</v>
      </c>
      <c r="C100" s="89">
        <v>0.05</v>
      </c>
      <c r="D100" s="306">
        <f>($D97+$D98+$D112)/(1-$C$103)*C100</f>
        <v>153.12969158849108</v>
      </c>
      <c r="E100" s="306"/>
      <c r="F100" s="45"/>
      <c r="G100" s="45"/>
      <c r="H100" s="45"/>
      <c r="I100" s="45"/>
    </row>
    <row r="101" spans="1:9" x14ac:dyDescent="0.2">
      <c r="A101" s="44"/>
      <c r="B101" s="90" t="s">
        <v>252</v>
      </c>
      <c r="C101" s="84">
        <v>0.03</v>
      </c>
      <c r="D101" s="306">
        <f>($D97+$D98+$D112)/(1-$C$103)*C101</f>
        <v>91.877814953094642</v>
      </c>
      <c r="E101" s="306"/>
      <c r="F101" s="44"/>
      <c r="G101" s="44"/>
      <c r="H101" s="44"/>
      <c r="I101" s="44"/>
    </row>
    <row r="102" spans="1:9" x14ac:dyDescent="0.2">
      <c r="A102" s="44"/>
      <c r="B102" s="90" t="s">
        <v>253</v>
      </c>
      <c r="C102" s="84">
        <v>6.4999999999999997E-3</v>
      </c>
      <c r="D102" s="306">
        <f>($D97+$D98+$D112)/(1-$C$103)*C102</f>
        <v>19.90685990650384</v>
      </c>
      <c r="E102" s="306"/>
      <c r="F102" s="44"/>
      <c r="G102" s="44"/>
      <c r="H102" s="44"/>
      <c r="I102" s="44"/>
    </row>
    <row r="103" spans="1:9" x14ac:dyDescent="0.2">
      <c r="A103" s="44"/>
      <c r="B103" s="85" t="s">
        <v>254</v>
      </c>
      <c r="C103" s="77">
        <f>TRUNC(SUM(C100:C102),8)</f>
        <v>8.6499999999999994E-2</v>
      </c>
      <c r="D103" s="308">
        <f>SUM(D97:E102)</f>
        <v>373.55166979199379</v>
      </c>
      <c r="E103" s="308"/>
      <c r="F103" s="44"/>
      <c r="G103" s="44"/>
      <c r="H103" s="44"/>
      <c r="I103" s="44"/>
    </row>
    <row r="104" spans="1:9" x14ac:dyDescent="0.2">
      <c r="A104" s="44"/>
      <c r="B104" s="302" t="s">
        <v>255</v>
      </c>
      <c r="C104" s="302"/>
      <c r="D104" s="302"/>
      <c r="E104" s="302"/>
      <c r="F104" s="44"/>
      <c r="G104" s="44"/>
      <c r="H104" s="44"/>
      <c r="I104" s="44"/>
    </row>
    <row r="105" spans="1:9" x14ac:dyDescent="0.2">
      <c r="A105" s="44"/>
      <c r="B105" s="302"/>
      <c r="C105" s="302"/>
      <c r="D105" s="302"/>
      <c r="E105" s="302"/>
      <c r="F105" s="44"/>
      <c r="G105" s="44"/>
      <c r="H105" s="44"/>
      <c r="I105" s="44"/>
    </row>
    <row r="106" spans="1:9" x14ac:dyDescent="0.2">
      <c r="A106" s="44"/>
      <c r="B106" s="303" t="s">
        <v>256</v>
      </c>
      <c r="C106" s="303"/>
      <c r="D106" s="304" t="s">
        <v>206</v>
      </c>
      <c r="E106" s="304"/>
      <c r="F106" s="44"/>
      <c r="G106" s="44"/>
      <c r="H106" s="44"/>
      <c r="I106" s="44"/>
    </row>
    <row r="107" spans="1:9" x14ac:dyDescent="0.2">
      <c r="A107" s="54" t="s">
        <v>28</v>
      </c>
      <c r="B107" s="319" t="s">
        <v>257</v>
      </c>
      <c r="C107" s="319"/>
      <c r="D107" s="307">
        <f>+D22</f>
        <v>1213.79</v>
      </c>
      <c r="E107" s="307"/>
      <c r="F107" s="44"/>
      <c r="G107" s="44"/>
      <c r="H107" s="44"/>
      <c r="I107" s="44"/>
    </row>
    <row r="108" spans="1:9" x14ac:dyDescent="0.2">
      <c r="A108" s="54" t="s">
        <v>31</v>
      </c>
      <c r="B108" s="319" t="s">
        <v>47</v>
      </c>
      <c r="C108" s="319"/>
      <c r="D108" s="307">
        <f>D55</f>
        <v>1310.9076622959999</v>
      </c>
      <c r="E108" s="307"/>
      <c r="F108" s="44"/>
      <c r="G108" s="44"/>
      <c r="H108" s="44"/>
      <c r="I108" s="44"/>
    </row>
    <row r="109" spans="1:9" x14ac:dyDescent="0.2">
      <c r="A109" s="54" t="s">
        <v>34</v>
      </c>
      <c r="B109" s="319" t="s">
        <v>101</v>
      </c>
      <c r="C109" s="319"/>
      <c r="D109" s="307">
        <f>D65</f>
        <v>75.17729743999999</v>
      </c>
      <c r="E109" s="307"/>
      <c r="F109" s="44"/>
      <c r="G109" s="44"/>
      <c r="H109" s="44"/>
      <c r="I109" s="44"/>
    </row>
    <row r="110" spans="1:9" x14ac:dyDescent="0.2">
      <c r="A110" s="91" t="s">
        <v>36</v>
      </c>
      <c r="B110" s="319" t="s">
        <v>170</v>
      </c>
      <c r="C110" s="319"/>
      <c r="D110" s="307">
        <f>D85</f>
        <v>68.896686433003993</v>
      </c>
      <c r="E110" s="307"/>
      <c r="F110" s="44"/>
      <c r="G110" s="44"/>
      <c r="H110" s="44"/>
      <c r="I110" s="44"/>
    </row>
    <row r="111" spans="1:9" x14ac:dyDescent="0.2">
      <c r="A111" s="92" t="s">
        <v>39</v>
      </c>
      <c r="B111" s="321" t="s">
        <v>148</v>
      </c>
      <c r="C111" s="321"/>
      <c r="D111" s="307">
        <f>D93</f>
        <v>20.270515808823532</v>
      </c>
      <c r="E111" s="307"/>
      <c r="F111" s="44"/>
      <c r="G111" s="44"/>
      <c r="H111" s="44"/>
      <c r="I111" s="44"/>
    </row>
    <row r="112" spans="1:9" x14ac:dyDescent="0.2">
      <c r="A112" s="44"/>
      <c r="B112" s="290" t="s">
        <v>258</v>
      </c>
      <c r="C112" s="290"/>
      <c r="D112" s="318">
        <f>SUM(D107:E111)</f>
        <v>2689.0421619778276</v>
      </c>
      <c r="E112" s="318"/>
      <c r="F112" s="44"/>
      <c r="G112" s="44"/>
      <c r="H112" s="44"/>
      <c r="I112" s="44"/>
    </row>
    <row r="113" spans="1:9" x14ac:dyDescent="0.2">
      <c r="A113" s="54" t="s">
        <v>41</v>
      </c>
      <c r="B113" s="319" t="s">
        <v>259</v>
      </c>
      <c r="C113" s="319"/>
      <c r="D113" s="306">
        <f>+D103</f>
        <v>373.55166979199379</v>
      </c>
      <c r="E113" s="306"/>
      <c r="F113" s="44"/>
      <c r="G113" s="44"/>
      <c r="H113" s="44"/>
      <c r="I113" s="44"/>
    </row>
    <row r="114" spans="1:9" x14ac:dyDescent="0.2">
      <c r="A114" s="44"/>
      <c r="B114" s="320" t="s">
        <v>260</v>
      </c>
      <c r="C114" s="320"/>
      <c r="D114" s="308">
        <f>+D112+D113</f>
        <v>3062.5938317698215</v>
      </c>
      <c r="E114" s="308"/>
      <c r="F114" s="44"/>
      <c r="G114" s="44"/>
      <c r="H114" s="52"/>
      <c r="I114" s="44"/>
    </row>
    <row r="115" spans="1:9" x14ac:dyDescent="0.2">
      <c r="B115" s="320" t="s">
        <v>442</v>
      </c>
      <c r="C115" s="320"/>
      <c r="D115" s="308">
        <f>+D114*E10</f>
        <v>21438.156822388752</v>
      </c>
      <c r="E115" s="308"/>
    </row>
  </sheetData>
  <mergeCells count="143">
    <mergeCell ref="B2:E2"/>
    <mergeCell ref="D3:E3"/>
    <mergeCell ref="B4:C4"/>
    <mergeCell ref="D4:E4"/>
    <mergeCell ref="D5:E5"/>
    <mergeCell ref="B6:C6"/>
    <mergeCell ref="D6:E6"/>
    <mergeCell ref="B12:C12"/>
    <mergeCell ref="D12:E12"/>
    <mergeCell ref="B13:E13"/>
    <mergeCell ref="B14:E14"/>
    <mergeCell ref="B15:C15"/>
    <mergeCell ref="D15:E15"/>
    <mergeCell ref="B7:E7"/>
    <mergeCell ref="B8:E8"/>
    <mergeCell ref="B10:B11"/>
    <mergeCell ref="C10:C11"/>
    <mergeCell ref="D10:D11"/>
    <mergeCell ref="E10:E11"/>
    <mergeCell ref="B19:C19"/>
    <mergeCell ref="D19:E19"/>
    <mergeCell ref="B20:C20"/>
    <mergeCell ref="D20:E20"/>
    <mergeCell ref="B21:C21"/>
    <mergeCell ref="D21:E21"/>
    <mergeCell ref="B16:C16"/>
    <mergeCell ref="D16:E16"/>
    <mergeCell ref="B17:C17"/>
    <mergeCell ref="D17:E17"/>
    <mergeCell ref="B18:C18"/>
    <mergeCell ref="D18:E18"/>
    <mergeCell ref="D28:E28"/>
    <mergeCell ref="D29:E29"/>
    <mergeCell ref="B30:E30"/>
    <mergeCell ref="D31:E31"/>
    <mergeCell ref="D32:E32"/>
    <mergeCell ref="D33:E33"/>
    <mergeCell ref="D22:E22"/>
    <mergeCell ref="B23:E23"/>
    <mergeCell ref="B24:E24"/>
    <mergeCell ref="B25:E25"/>
    <mergeCell ref="D26:E26"/>
    <mergeCell ref="D27:E27"/>
    <mergeCell ref="D40:E40"/>
    <mergeCell ref="B41:E41"/>
    <mergeCell ref="D42:E42"/>
    <mergeCell ref="D43:E43"/>
    <mergeCell ref="D44:E44"/>
    <mergeCell ref="D45:E45"/>
    <mergeCell ref="D34:E34"/>
    <mergeCell ref="D35:E35"/>
    <mergeCell ref="D36:E36"/>
    <mergeCell ref="D37:E37"/>
    <mergeCell ref="D38:E38"/>
    <mergeCell ref="D39:E39"/>
    <mergeCell ref="D51:E51"/>
    <mergeCell ref="B52:C52"/>
    <mergeCell ref="D52:E52"/>
    <mergeCell ref="B53:C53"/>
    <mergeCell ref="D53:E53"/>
    <mergeCell ref="B54:C54"/>
    <mergeCell ref="D54:E54"/>
    <mergeCell ref="D46:E46"/>
    <mergeCell ref="G46:I46"/>
    <mergeCell ref="D47:E47"/>
    <mergeCell ref="D48:E48"/>
    <mergeCell ref="D49:E49"/>
    <mergeCell ref="B50:E50"/>
    <mergeCell ref="D60:E60"/>
    <mergeCell ref="D61:E61"/>
    <mergeCell ref="D62:E62"/>
    <mergeCell ref="D63:E63"/>
    <mergeCell ref="D64:E64"/>
    <mergeCell ref="D65:E65"/>
    <mergeCell ref="B55:C55"/>
    <mergeCell ref="D55:E55"/>
    <mergeCell ref="B56:E56"/>
    <mergeCell ref="B57:E57"/>
    <mergeCell ref="D58:E58"/>
    <mergeCell ref="D59:E59"/>
    <mergeCell ref="D72:E72"/>
    <mergeCell ref="D73:E73"/>
    <mergeCell ref="D74:E74"/>
    <mergeCell ref="D75:E75"/>
    <mergeCell ref="D76:E76"/>
    <mergeCell ref="B77:E77"/>
    <mergeCell ref="B66:E66"/>
    <mergeCell ref="B67:E67"/>
    <mergeCell ref="B68:E68"/>
    <mergeCell ref="D69:E69"/>
    <mergeCell ref="D70:E70"/>
    <mergeCell ref="D71:E71"/>
    <mergeCell ref="B84:C84"/>
    <mergeCell ref="D84:E84"/>
    <mergeCell ref="B85:C85"/>
    <mergeCell ref="D85:E85"/>
    <mergeCell ref="B86:E86"/>
    <mergeCell ref="B87:E87"/>
    <mergeCell ref="D78:E78"/>
    <mergeCell ref="D79:E79"/>
    <mergeCell ref="D80:E80"/>
    <mergeCell ref="B81:E81"/>
    <mergeCell ref="D82:E82"/>
    <mergeCell ref="B83:C83"/>
    <mergeCell ref="D83:E83"/>
    <mergeCell ref="B94:E94"/>
    <mergeCell ref="B95:E95"/>
    <mergeCell ref="D96:E96"/>
    <mergeCell ref="D97:E97"/>
    <mergeCell ref="D98:E98"/>
    <mergeCell ref="D99:E99"/>
    <mergeCell ref="D88:E88"/>
    <mergeCell ref="D89:E89"/>
    <mergeCell ref="D90:E90"/>
    <mergeCell ref="D91:E91"/>
    <mergeCell ref="D92:E92"/>
    <mergeCell ref="D93:E93"/>
    <mergeCell ref="B106:C106"/>
    <mergeCell ref="D106:E106"/>
    <mergeCell ref="B107:C107"/>
    <mergeCell ref="D107:E107"/>
    <mergeCell ref="B108:C108"/>
    <mergeCell ref="D108:E108"/>
    <mergeCell ref="D100:E100"/>
    <mergeCell ref="D101:E101"/>
    <mergeCell ref="D102:E102"/>
    <mergeCell ref="D103:E103"/>
    <mergeCell ref="B104:E104"/>
    <mergeCell ref="B105:E105"/>
    <mergeCell ref="B115:C115"/>
    <mergeCell ref="D115:E115"/>
    <mergeCell ref="B112:C112"/>
    <mergeCell ref="D112:E112"/>
    <mergeCell ref="B113:C113"/>
    <mergeCell ref="D113:E113"/>
    <mergeCell ref="B114:C114"/>
    <mergeCell ref="D114:E114"/>
    <mergeCell ref="B109:C109"/>
    <mergeCell ref="D109:E109"/>
    <mergeCell ref="B110:C110"/>
    <mergeCell ref="D110:E110"/>
    <mergeCell ref="B111:C111"/>
    <mergeCell ref="D111:E11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71A5A-2734-4B01-872E-8E739D053C3D}">
  <dimension ref="A1:I115"/>
  <sheetViews>
    <sheetView topLeftCell="B85" zoomScale="142" zoomScaleNormal="142" workbookViewId="0">
      <selection activeCell="D93" sqref="D93:E93"/>
    </sheetView>
  </sheetViews>
  <sheetFormatPr defaultRowHeight="11.25" x14ac:dyDescent="0.2"/>
  <cols>
    <col min="1" max="1" width="4.42578125" style="50" customWidth="1"/>
    <col min="2" max="2" width="51.85546875" style="50" customWidth="1"/>
    <col min="3" max="3" width="9.140625" style="50"/>
    <col min="4" max="4" width="10.85546875" style="50" customWidth="1"/>
    <col min="5" max="5" width="12.5703125" style="50" customWidth="1"/>
    <col min="6" max="6" width="9.140625" style="50"/>
    <col min="7" max="7" width="4.7109375" style="50" customWidth="1"/>
    <col min="8" max="8" width="13.140625" style="50" customWidth="1"/>
    <col min="9" max="16384" width="9.140625" style="50"/>
  </cols>
  <sheetData>
    <row r="1" spans="1:9" x14ac:dyDescent="0.2">
      <c r="A1" s="44"/>
      <c r="B1" s="381"/>
      <c r="C1" s="382"/>
      <c r="D1" s="382"/>
      <c r="E1" s="383"/>
      <c r="F1" s="44"/>
      <c r="G1" s="44"/>
      <c r="H1" s="44"/>
      <c r="I1" s="44"/>
    </row>
    <row r="2" spans="1:9" x14ac:dyDescent="0.2">
      <c r="A2" s="44"/>
      <c r="B2" s="381" t="s">
        <v>190</v>
      </c>
      <c r="C2" s="382"/>
      <c r="D2" s="382"/>
      <c r="E2" s="383"/>
      <c r="F2" s="44"/>
      <c r="G2" s="44"/>
      <c r="H2" s="44"/>
      <c r="I2" s="44"/>
    </row>
    <row r="3" spans="1:9" x14ac:dyDescent="0.2">
      <c r="A3" s="126" t="s">
        <v>28</v>
      </c>
      <c r="B3" s="127" t="s">
        <v>191</v>
      </c>
      <c r="C3" s="128"/>
      <c r="D3" s="384" t="s">
        <v>443</v>
      </c>
      <c r="E3" s="385"/>
      <c r="F3" s="44"/>
      <c r="G3" s="44"/>
      <c r="H3" s="44"/>
      <c r="I3" s="44"/>
    </row>
    <row r="4" spans="1:9" x14ac:dyDescent="0.2">
      <c r="A4" s="126" t="s">
        <v>31</v>
      </c>
      <c r="B4" s="369" t="s">
        <v>192</v>
      </c>
      <c r="C4" s="370"/>
      <c r="D4" s="386" t="s">
        <v>193</v>
      </c>
      <c r="E4" s="387"/>
      <c r="F4" s="44"/>
      <c r="G4" s="44"/>
      <c r="H4" s="44"/>
      <c r="I4" s="44"/>
    </row>
    <row r="5" spans="1:9" x14ac:dyDescent="0.2">
      <c r="A5" s="126" t="s">
        <v>34</v>
      </c>
      <c r="B5" s="129" t="s">
        <v>194</v>
      </c>
      <c r="C5" s="130"/>
      <c r="D5" s="386" t="s">
        <v>195</v>
      </c>
      <c r="E5" s="387"/>
      <c r="F5" s="44"/>
      <c r="G5" s="44"/>
      <c r="H5" s="44"/>
      <c r="I5" s="44"/>
    </row>
    <row r="6" spans="1:9" x14ac:dyDescent="0.2">
      <c r="A6" s="126" t="s">
        <v>36</v>
      </c>
      <c r="B6" s="369" t="s">
        <v>196</v>
      </c>
      <c r="C6" s="370"/>
      <c r="D6" s="371" t="s">
        <v>197</v>
      </c>
      <c r="E6" s="372"/>
      <c r="F6" s="44"/>
      <c r="G6" s="44"/>
      <c r="H6" s="44"/>
      <c r="I6" s="44"/>
    </row>
    <row r="7" spans="1:9" x14ac:dyDescent="0.2">
      <c r="A7" s="44"/>
      <c r="B7" s="373"/>
      <c r="C7" s="373"/>
      <c r="D7" s="373"/>
      <c r="E7" s="373"/>
      <c r="F7" s="44"/>
      <c r="G7" s="44"/>
      <c r="H7" s="44"/>
      <c r="I7" s="44"/>
    </row>
    <row r="8" spans="1:9" x14ac:dyDescent="0.2">
      <c r="A8" s="44"/>
      <c r="B8" s="374" t="s">
        <v>198</v>
      </c>
      <c r="C8" s="375"/>
      <c r="D8" s="375"/>
      <c r="E8" s="375"/>
      <c r="F8" s="123"/>
      <c r="G8" s="44"/>
      <c r="H8" s="44"/>
      <c r="I8" s="44"/>
    </row>
    <row r="9" spans="1:9" ht="21" x14ac:dyDescent="0.2">
      <c r="A9" s="44"/>
      <c r="B9" s="131" t="s">
        <v>199</v>
      </c>
      <c r="C9" s="131" t="s">
        <v>200</v>
      </c>
      <c r="D9" s="131" t="s">
        <v>19</v>
      </c>
      <c r="E9" s="132" t="s">
        <v>201</v>
      </c>
      <c r="F9" s="44"/>
      <c r="G9" s="44"/>
      <c r="H9" s="44"/>
      <c r="I9" s="44"/>
    </row>
    <row r="10" spans="1:9" x14ac:dyDescent="0.2">
      <c r="A10" s="44"/>
      <c r="B10" s="376" t="s">
        <v>291</v>
      </c>
      <c r="C10" s="378" t="s">
        <v>292</v>
      </c>
      <c r="D10" s="380">
        <v>44562</v>
      </c>
      <c r="E10" s="376">
        <v>6</v>
      </c>
      <c r="F10" s="44"/>
      <c r="G10" s="44"/>
      <c r="H10" s="44"/>
      <c r="I10" s="44"/>
    </row>
    <row r="11" spans="1:9" x14ac:dyDescent="0.2">
      <c r="A11" s="44"/>
      <c r="B11" s="377"/>
      <c r="C11" s="379"/>
      <c r="D11" s="377"/>
      <c r="E11" s="377"/>
      <c r="F11" s="44"/>
      <c r="G11" s="44"/>
      <c r="H11" s="44"/>
      <c r="I11" s="44"/>
    </row>
    <row r="12" spans="1:9" x14ac:dyDescent="0.2">
      <c r="A12" s="44"/>
      <c r="B12" s="346" t="s">
        <v>203</v>
      </c>
      <c r="C12" s="347"/>
      <c r="D12" s="388">
        <v>1213.74</v>
      </c>
      <c r="E12" s="389"/>
      <c r="F12" s="44"/>
      <c r="G12" s="44"/>
      <c r="H12" s="44"/>
      <c r="I12" s="44"/>
    </row>
    <row r="13" spans="1:9" x14ac:dyDescent="0.2">
      <c r="A13" s="44"/>
      <c r="B13" s="345" t="s">
        <v>204</v>
      </c>
      <c r="C13" s="345"/>
      <c r="D13" s="345"/>
      <c r="E13" s="345"/>
      <c r="F13" s="44"/>
      <c r="G13" s="44"/>
      <c r="H13" s="44"/>
      <c r="I13" s="44"/>
    </row>
    <row r="14" spans="1:9" x14ac:dyDescent="0.2">
      <c r="A14" s="44"/>
      <c r="B14" s="345"/>
      <c r="C14" s="345"/>
      <c r="D14" s="345"/>
      <c r="E14" s="345"/>
      <c r="F14" s="44"/>
      <c r="G14" s="44"/>
      <c r="H14" s="44"/>
      <c r="I14" s="44"/>
    </row>
    <row r="15" spans="1:9" x14ac:dyDescent="0.2">
      <c r="A15" s="44"/>
      <c r="B15" s="339" t="s">
        <v>205</v>
      </c>
      <c r="C15" s="340"/>
      <c r="D15" s="341" t="s">
        <v>206</v>
      </c>
      <c r="E15" s="342"/>
      <c r="F15" s="44"/>
      <c r="G15" s="44"/>
      <c r="H15" s="44"/>
      <c r="I15" s="44"/>
    </row>
    <row r="16" spans="1:9" x14ac:dyDescent="0.2">
      <c r="A16" s="126" t="s">
        <v>28</v>
      </c>
      <c r="B16" s="367" t="s">
        <v>207</v>
      </c>
      <c r="C16" s="368"/>
      <c r="D16" s="335">
        <f>+D12</f>
        <v>1213.74</v>
      </c>
      <c r="E16" s="335"/>
      <c r="F16" s="44"/>
      <c r="G16" s="44"/>
      <c r="H16" s="44"/>
      <c r="I16" s="44"/>
    </row>
    <row r="17" spans="1:9" x14ac:dyDescent="0.2">
      <c r="A17" s="126" t="s">
        <v>31</v>
      </c>
      <c r="B17" s="367" t="s">
        <v>208</v>
      </c>
      <c r="C17" s="368"/>
      <c r="D17" s="336">
        <v>0</v>
      </c>
      <c r="E17" s="337"/>
      <c r="F17" s="44"/>
      <c r="G17" s="44"/>
      <c r="H17" s="44"/>
      <c r="I17" s="44"/>
    </row>
    <row r="18" spans="1:9" x14ac:dyDescent="0.2">
      <c r="A18" s="126" t="s">
        <v>34</v>
      </c>
      <c r="B18" s="367" t="s">
        <v>209</v>
      </c>
      <c r="C18" s="368"/>
      <c r="D18" s="336">
        <v>0</v>
      </c>
      <c r="E18" s="337"/>
      <c r="F18" s="44"/>
      <c r="G18" s="44"/>
      <c r="H18" s="44"/>
      <c r="I18" s="44"/>
    </row>
    <row r="19" spans="1:9" x14ac:dyDescent="0.2">
      <c r="A19" s="126" t="s">
        <v>36</v>
      </c>
      <c r="B19" s="367" t="s">
        <v>210</v>
      </c>
      <c r="C19" s="368"/>
      <c r="D19" s="336">
        <v>0</v>
      </c>
      <c r="E19" s="337"/>
      <c r="F19" s="44"/>
      <c r="G19" s="44"/>
      <c r="H19" s="44"/>
      <c r="I19" s="44"/>
    </row>
    <row r="20" spans="1:9" x14ac:dyDescent="0.2">
      <c r="A20" s="126" t="s">
        <v>39</v>
      </c>
      <c r="B20" s="367" t="s">
        <v>40</v>
      </c>
      <c r="C20" s="368"/>
      <c r="D20" s="336">
        <v>0</v>
      </c>
      <c r="E20" s="337"/>
      <c r="F20" s="44"/>
      <c r="G20" s="44"/>
      <c r="H20" s="44"/>
      <c r="I20" s="44"/>
    </row>
    <row r="21" spans="1:9" x14ac:dyDescent="0.2">
      <c r="A21" s="126" t="s">
        <v>41</v>
      </c>
      <c r="B21" s="367" t="s">
        <v>42</v>
      </c>
      <c r="C21" s="368"/>
      <c r="D21" s="336">
        <v>0</v>
      </c>
      <c r="E21" s="337"/>
      <c r="F21" s="44"/>
      <c r="G21" s="44"/>
      <c r="H21" s="44"/>
      <c r="I21" s="44"/>
    </row>
    <row r="22" spans="1:9" x14ac:dyDescent="0.2">
      <c r="A22" s="44"/>
      <c r="B22" s="133" t="s">
        <v>211</v>
      </c>
      <c r="C22" s="134"/>
      <c r="D22" s="327">
        <f>SUM(D16:E21)</f>
        <v>1213.74</v>
      </c>
      <c r="E22" s="328"/>
      <c r="F22" s="44"/>
      <c r="G22" s="44"/>
      <c r="H22" s="44"/>
      <c r="I22" s="44"/>
    </row>
    <row r="23" spans="1:9" x14ac:dyDescent="0.2">
      <c r="A23" s="44"/>
      <c r="B23" s="345" t="s">
        <v>212</v>
      </c>
      <c r="C23" s="345"/>
      <c r="D23" s="345"/>
      <c r="E23" s="345"/>
      <c r="F23" s="44"/>
      <c r="G23" s="44"/>
      <c r="H23" s="44"/>
      <c r="I23" s="44"/>
    </row>
    <row r="24" spans="1:9" x14ac:dyDescent="0.2">
      <c r="A24" s="44"/>
      <c r="B24" s="345"/>
      <c r="C24" s="345"/>
      <c r="D24" s="345"/>
      <c r="E24" s="345"/>
      <c r="F24" s="44"/>
      <c r="G24" s="44"/>
      <c r="H24" s="44"/>
      <c r="I24" s="44"/>
    </row>
    <row r="25" spans="1:9" x14ac:dyDescent="0.2">
      <c r="A25" s="44"/>
      <c r="B25" s="345" t="s">
        <v>213</v>
      </c>
      <c r="C25" s="345"/>
      <c r="D25" s="345"/>
      <c r="E25" s="345"/>
      <c r="F25" s="44"/>
      <c r="G25" s="44"/>
      <c r="H25" s="44"/>
      <c r="I25" s="44"/>
    </row>
    <row r="26" spans="1:9" x14ac:dyDescent="0.2">
      <c r="A26" s="44"/>
      <c r="B26" s="129" t="s">
        <v>214</v>
      </c>
      <c r="C26" s="130"/>
      <c r="D26" s="341" t="s">
        <v>206</v>
      </c>
      <c r="E26" s="342"/>
      <c r="F26" s="44"/>
      <c r="G26" s="44"/>
      <c r="H26" s="44"/>
      <c r="I26" s="44"/>
    </row>
    <row r="27" spans="1:9" x14ac:dyDescent="0.2">
      <c r="A27" s="126" t="s">
        <v>28</v>
      </c>
      <c r="B27" s="135" t="s">
        <v>53</v>
      </c>
      <c r="C27" s="136">
        <v>8.3299999999999999E-2</v>
      </c>
      <c r="D27" s="343">
        <f>(D22*C27)</f>
        <v>101.104542</v>
      </c>
      <c r="E27" s="328"/>
      <c r="F27" s="44"/>
      <c r="G27" s="44"/>
      <c r="H27" s="44"/>
      <c r="I27" s="44"/>
    </row>
    <row r="28" spans="1:9" x14ac:dyDescent="0.2">
      <c r="A28" s="126" t="s">
        <v>31</v>
      </c>
      <c r="B28" s="137" t="s">
        <v>215</v>
      </c>
      <c r="C28" s="136">
        <v>0.1111</v>
      </c>
      <c r="D28" s="343">
        <f xml:space="preserve"> (D22*C28)</f>
        <v>134.84651400000001</v>
      </c>
      <c r="E28" s="344"/>
      <c r="F28" s="44"/>
      <c r="G28" s="44"/>
      <c r="H28" s="44"/>
      <c r="I28" s="44"/>
    </row>
    <row r="29" spans="1:9" x14ac:dyDescent="0.2">
      <c r="A29" s="44"/>
      <c r="B29" s="133" t="s">
        <v>211</v>
      </c>
      <c r="C29" s="138">
        <f>SUM(C27:C28)</f>
        <v>0.19440000000000002</v>
      </c>
      <c r="D29" s="327">
        <f>SUM(D27:E28)</f>
        <v>235.95105599999999</v>
      </c>
      <c r="E29" s="328"/>
      <c r="F29" s="44"/>
      <c r="G29" s="44"/>
      <c r="H29" s="44"/>
      <c r="I29" s="44"/>
    </row>
    <row r="30" spans="1:9" x14ac:dyDescent="0.2">
      <c r="A30" s="44"/>
      <c r="B30" s="366" t="s">
        <v>216</v>
      </c>
      <c r="C30" s="366"/>
      <c r="D30" s="366"/>
      <c r="E30" s="366"/>
      <c r="F30" s="44"/>
      <c r="G30" s="44"/>
      <c r="H30" s="44"/>
      <c r="I30" s="44"/>
    </row>
    <row r="31" spans="1:9" x14ac:dyDescent="0.2">
      <c r="A31" s="44"/>
      <c r="B31" s="129" t="s">
        <v>217</v>
      </c>
      <c r="C31" s="130"/>
      <c r="D31" s="341" t="s">
        <v>206</v>
      </c>
      <c r="E31" s="342"/>
      <c r="F31" s="44"/>
      <c r="G31" s="44"/>
      <c r="H31" s="44"/>
      <c r="I31" s="44"/>
    </row>
    <row r="32" spans="1:9" x14ac:dyDescent="0.2">
      <c r="A32" s="126" t="s">
        <v>28</v>
      </c>
      <c r="B32" s="139" t="s">
        <v>70</v>
      </c>
      <c r="C32" s="136">
        <v>0.2</v>
      </c>
      <c r="D32" s="343">
        <f t="shared" ref="D32:D39" si="0">(C32*($D$22+$D$29))</f>
        <v>289.93821120000001</v>
      </c>
      <c r="E32" s="344"/>
      <c r="F32" s="44"/>
      <c r="G32" s="44"/>
      <c r="H32" s="44"/>
      <c r="I32" s="44"/>
    </row>
    <row r="33" spans="1:9" x14ac:dyDescent="0.2">
      <c r="A33" s="126" t="s">
        <v>31</v>
      </c>
      <c r="B33" s="139" t="s">
        <v>218</v>
      </c>
      <c r="C33" s="136">
        <v>1.4999999999999999E-2</v>
      </c>
      <c r="D33" s="343">
        <f t="shared" si="0"/>
        <v>21.745365840000002</v>
      </c>
      <c r="E33" s="344"/>
      <c r="F33" s="44"/>
      <c r="G33" s="44"/>
      <c r="H33" s="44"/>
      <c r="I33" s="44"/>
    </row>
    <row r="34" spans="1:9" x14ac:dyDescent="0.2">
      <c r="A34" s="126" t="s">
        <v>34</v>
      </c>
      <c r="B34" s="139" t="s">
        <v>219</v>
      </c>
      <c r="C34" s="136">
        <v>0.01</v>
      </c>
      <c r="D34" s="343">
        <f t="shared" si="0"/>
        <v>14.496910560000002</v>
      </c>
      <c r="E34" s="344"/>
    </row>
    <row r="35" spans="1:9" x14ac:dyDescent="0.2">
      <c r="A35" s="126" t="s">
        <v>36</v>
      </c>
      <c r="B35" s="139" t="s">
        <v>77</v>
      </c>
      <c r="C35" s="136">
        <v>2E-3</v>
      </c>
      <c r="D35" s="343">
        <f t="shared" si="0"/>
        <v>2.8993821120000005</v>
      </c>
      <c r="E35" s="344"/>
    </row>
    <row r="36" spans="1:9" x14ac:dyDescent="0.2">
      <c r="A36" s="126" t="s">
        <v>39</v>
      </c>
      <c r="B36" s="139" t="s">
        <v>71</v>
      </c>
      <c r="C36" s="136">
        <v>2.5000000000000001E-2</v>
      </c>
      <c r="D36" s="343">
        <f t="shared" si="0"/>
        <v>36.242276400000002</v>
      </c>
      <c r="E36" s="344"/>
      <c r="F36" s="44"/>
      <c r="G36" s="44"/>
      <c r="H36" s="44"/>
      <c r="I36" s="44"/>
    </row>
    <row r="37" spans="1:9" x14ac:dyDescent="0.2">
      <c r="A37" s="126" t="s">
        <v>41</v>
      </c>
      <c r="B37" s="139" t="s">
        <v>79</v>
      </c>
      <c r="C37" s="136">
        <v>0.08</v>
      </c>
      <c r="D37" s="343">
        <f t="shared" si="0"/>
        <v>115.97528448000001</v>
      </c>
      <c r="E37" s="344"/>
      <c r="F37" s="44"/>
      <c r="G37" s="44"/>
      <c r="H37" s="44"/>
      <c r="I37" s="44"/>
    </row>
    <row r="38" spans="1:9" x14ac:dyDescent="0.2">
      <c r="A38" s="126" t="s">
        <v>76</v>
      </c>
      <c r="B38" s="140" t="s">
        <v>220</v>
      </c>
      <c r="C38" s="141">
        <v>0.06</v>
      </c>
      <c r="D38" s="343">
        <f t="shared" si="0"/>
        <v>86.981463360000006</v>
      </c>
      <c r="E38" s="344"/>
      <c r="F38" s="44"/>
      <c r="G38" s="44"/>
      <c r="H38" s="44"/>
      <c r="I38" s="44"/>
    </row>
    <row r="39" spans="1:9" x14ac:dyDescent="0.2">
      <c r="A39" s="126" t="s">
        <v>78</v>
      </c>
      <c r="B39" s="139" t="s">
        <v>75</v>
      </c>
      <c r="C39" s="136">
        <v>6.0000000000000001E-3</v>
      </c>
      <c r="D39" s="343">
        <f t="shared" si="0"/>
        <v>8.6981463360000006</v>
      </c>
      <c r="E39" s="344"/>
      <c r="F39" s="44"/>
      <c r="G39" s="44"/>
      <c r="H39" s="44"/>
      <c r="I39" s="44"/>
    </row>
    <row r="40" spans="1:9" x14ac:dyDescent="0.2">
      <c r="A40" s="44"/>
      <c r="B40" s="133" t="s">
        <v>211</v>
      </c>
      <c r="C40" s="138">
        <f>SUM(C32:C39)</f>
        <v>0.39800000000000008</v>
      </c>
      <c r="D40" s="327">
        <f>SUM(D32:E39)</f>
        <v>576.97704028800001</v>
      </c>
      <c r="E40" s="328"/>
    </row>
    <row r="41" spans="1:9" x14ac:dyDescent="0.2">
      <c r="A41" s="44"/>
      <c r="B41" s="345" t="s">
        <v>221</v>
      </c>
      <c r="C41" s="345"/>
      <c r="D41" s="345"/>
      <c r="E41" s="345"/>
    </row>
    <row r="42" spans="1:9" x14ac:dyDescent="0.2">
      <c r="A42" s="44"/>
      <c r="B42" s="129" t="s">
        <v>222</v>
      </c>
      <c r="C42" s="130"/>
      <c r="D42" s="341" t="s">
        <v>206</v>
      </c>
      <c r="E42" s="342"/>
      <c r="F42" s="44"/>
      <c r="G42" s="44"/>
      <c r="H42" s="44"/>
      <c r="I42" s="44"/>
    </row>
    <row r="43" spans="1:9" x14ac:dyDescent="0.2">
      <c r="A43" s="126" t="s">
        <v>28</v>
      </c>
      <c r="B43" s="135" t="s">
        <v>87</v>
      </c>
      <c r="C43" s="142"/>
      <c r="D43" s="336">
        <v>0</v>
      </c>
      <c r="E43" s="337"/>
      <c r="F43" s="44"/>
      <c r="G43" s="50" t="s">
        <v>282</v>
      </c>
    </row>
    <row r="44" spans="1:9" x14ac:dyDescent="0.2">
      <c r="A44" s="126" t="s">
        <v>31</v>
      </c>
      <c r="B44" s="135" t="s">
        <v>88</v>
      </c>
      <c r="C44" s="142"/>
      <c r="D44" s="336">
        <f>+I47</f>
        <v>368.01600000000002</v>
      </c>
      <c r="E44" s="337"/>
      <c r="F44" s="48"/>
    </row>
    <row r="45" spans="1:9" x14ac:dyDescent="0.2">
      <c r="A45" s="126" t="s">
        <v>34</v>
      </c>
      <c r="B45" s="143" t="s">
        <v>225</v>
      </c>
      <c r="C45" s="142"/>
      <c r="D45" s="336">
        <v>0</v>
      </c>
      <c r="E45" s="337"/>
      <c r="F45" s="48"/>
      <c r="G45" s="363" t="s">
        <v>226</v>
      </c>
      <c r="H45" s="364"/>
      <c r="I45" s="365"/>
    </row>
    <row r="46" spans="1:9" x14ac:dyDescent="0.2">
      <c r="A46" s="126" t="s">
        <v>36</v>
      </c>
      <c r="B46" s="143" t="s">
        <v>92</v>
      </c>
      <c r="C46" s="142"/>
      <c r="D46" s="336">
        <v>20</v>
      </c>
      <c r="E46" s="337"/>
      <c r="F46" s="48"/>
      <c r="G46" s="41" t="s">
        <v>223</v>
      </c>
      <c r="H46" s="41" t="s">
        <v>293</v>
      </c>
      <c r="I46" s="41" t="s">
        <v>224</v>
      </c>
    </row>
    <row r="47" spans="1:9" x14ac:dyDescent="0.2">
      <c r="A47" s="126" t="s">
        <v>39</v>
      </c>
      <c r="B47" s="143" t="s">
        <v>294</v>
      </c>
      <c r="C47" s="142"/>
      <c r="D47" s="336">
        <v>5</v>
      </c>
      <c r="E47" s="337"/>
      <c r="F47" s="48"/>
      <c r="G47" s="41">
        <v>22</v>
      </c>
      <c r="H47" s="42">
        <v>20.91</v>
      </c>
      <c r="I47" s="98">
        <f>+H47*G47*80%</f>
        <v>368.01600000000002</v>
      </c>
    </row>
    <row r="48" spans="1:9" x14ac:dyDescent="0.2">
      <c r="A48" s="126" t="s">
        <v>41</v>
      </c>
      <c r="B48" s="143" t="s">
        <v>228</v>
      </c>
      <c r="C48" s="142"/>
      <c r="D48" s="336">
        <v>40</v>
      </c>
      <c r="E48" s="337"/>
      <c r="F48" s="48"/>
    </row>
    <row r="49" spans="1:9" x14ac:dyDescent="0.2">
      <c r="A49" s="44"/>
      <c r="B49" s="133" t="s">
        <v>229</v>
      </c>
      <c r="C49" s="144"/>
      <c r="D49" s="351">
        <f>SUM(D43:E48)</f>
        <v>433.01600000000002</v>
      </c>
      <c r="E49" s="351"/>
      <c r="F49" s="48"/>
    </row>
    <row r="50" spans="1:9" x14ac:dyDescent="0.2">
      <c r="A50" s="44"/>
      <c r="B50" s="345" t="s">
        <v>98</v>
      </c>
      <c r="C50" s="345"/>
      <c r="D50" s="345"/>
      <c r="E50" s="345"/>
      <c r="F50" s="48"/>
      <c r="G50" s="44"/>
      <c r="H50" s="44"/>
      <c r="I50" s="44"/>
    </row>
    <row r="51" spans="1:9" x14ac:dyDescent="0.2">
      <c r="A51" s="44"/>
      <c r="B51" s="127" t="s">
        <v>230</v>
      </c>
      <c r="C51" s="145"/>
      <c r="D51" s="341" t="s">
        <v>206</v>
      </c>
      <c r="E51" s="342"/>
      <c r="F51" s="48"/>
      <c r="G51" s="44"/>
      <c r="H51" s="44"/>
      <c r="I51" s="44"/>
    </row>
    <row r="52" spans="1:9" x14ac:dyDescent="0.2">
      <c r="A52" s="126" t="s">
        <v>51</v>
      </c>
      <c r="B52" s="361" t="s">
        <v>231</v>
      </c>
      <c r="C52" s="362"/>
      <c r="D52" s="336">
        <f>+D29</f>
        <v>235.95105599999999</v>
      </c>
      <c r="E52" s="337"/>
      <c r="F52" s="44"/>
      <c r="G52" s="44"/>
      <c r="H52" s="44"/>
      <c r="I52" s="44"/>
    </row>
    <row r="53" spans="1:9" x14ac:dyDescent="0.2">
      <c r="A53" s="126" t="s">
        <v>67</v>
      </c>
      <c r="B53" s="361" t="s">
        <v>68</v>
      </c>
      <c r="C53" s="362"/>
      <c r="D53" s="336">
        <f>+D40</f>
        <v>576.97704028800001</v>
      </c>
      <c r="E53" s="337"/>
      <c r="F53" s="44"/>
      <c r="G53" s="44"/>
      <c r="H53" s="44"/>
      <c r="I53" s="44"/>
    </row>
    <row r="54" spans="1:9" x14ac:dyDescent="0.2">
      <c r="A54" s="126" t="s">
        <v>85</v>
      </c>
      <c r="B54" s="361" t="s">
        <v>86</v>
      </c>
      <c r="C54" s="362"/>
      <c r="D54" s="336">
        <f>+D49</f>
        <v>433.01600000000002</v>
      </c>
      <c r="E54" s="337"/>
      <c r="F54" s="44"/>
      <c r="G54" s="44"/>
      <c r="H54" s="44"/>
      <c r="I54" s="44"/>
    </row>
    <row r="55" spans="1:9" x14ac:dyDescent="0.2">
      <c r="A55" s="44"/>
      <c r="B55" s="354" t="s">
        <v>211</v>
      </c>
      <c r="C55" s="355"/>
      <c r="D55" s="351">
        <f>SUM(D52:E54)</f>
        <v>1245.9440962880001</v>
      </c>
      <c r="E55" s="351"/>
      <c r="F55" s="44"/>
      <c r="G55" s="44"/>
      <c r="H55" s="44"/>
      <c r="I55" s="44"/>
    </row>
    <row r="56" spans="1:9" x14ac:dyDescent="0.2">
      <c r="A56" s="44"/>
      <c r="B56" s="346" t="s">
        <v>232</v>
      </c>
      <c r="C56" s="347"/>
      <c r="D56" s="347"/>
      <c r="E56" s="348"/>
      <c r="F56" s="44"/>
      <c r="G56" s="44"/>
      <c r="H56" s="44"/>
      <c r="I56" s="44"/>
    </row>
    <row r="57" spans="1:9" x14ac:dyDescent="0.2">
      <c r="B57" s="358"/>
      <c r="C57" s="359"/>
      <c r="D57" s="359"/>
      <c r="E57" s="360"/>
      <c r="F57" s="44"/>
      <c r="G57" s="44"/>
      <c r="H57" s="44"/>
      <c r="I57" s="44"/>
    </row>
    <row r="58" spans="1:9" x14ac:dyDescent="0.2">
      <c r="A58" s="44"/>
      <c r="B58" s="127" t="s">
        <v>233</v>
      </c>
      <c r="C58" s="145"/>
      <c r="D58" s="341" t="s">
        <v>206</v>
      </c>
      <c r="E58" s="342"/>
      <c r="F58" s="124"/>
      <c r="G58" s="124"/>
      <c r="H58" s="124"/>
      <c r="I58" s="124"/>
    </row>
    <row r="59" spans="1:9" x14ac:dyDescent="0.2">
      <c r="A59" s="126" t="s">
        <v>28</v>
      </c>
      <c r="B59" s="147" t="s">
        <v>104</v>
      </c>
      <c r="C59" s="74">
        <v>4.1999999999999997E-3</v>
      </c>
      <c r="D59" s="343">
        <f t="shared" ref="D59:D64" si="1">C59*$D$22</f>
        <v>5.0977079999999999</v>
      </c>
      <c r="E59" s="328"/>
      <c r="F59" s="44"/>
      <c r="G59" s="44"/>
      <c r="H59" s="44"/>
      <c r="I59" s="44"/>
    </row>
    <row r="60" spans="1:9" x14ac:dyDescent="0.2">
      <c r="A60" s="126" t="s">
        <v>31</v>
      </c>
      <c r="B60" s="147" t="s">
        <v>234</v>
      </c>
      <c r="C60" s="74">
        <f>C59*C37</f>
        <v>3.3599999999999998E-4</v>
      </c>
      <c r="D60" s="343">
        <f t="shared" si="1"/>
        <v>0.40781664000000001</v>
      </c>
      <c r="E60" s="328"/>
      <c r="F60" s="44"/>
      <c r="G60" s="44"/>
      <c r="H60" s="44"/>
      <c r="I60" s="44"/>
    </row>
    <row r="61" spans="1:9" x14ac:dyDescent="0.2">
      <c r="A61" s="126" t="s">
        <v>34</v>
      </c>
      <c r="B61" s="147" t="s">
        <v>235</v>
      </c>
      <c r="C61" s="75">
        <v>1.6000000000000001E-3</v>
      </c>
      <c r="D61" s="343">
        <f t="shared" si="1"/>
        <v>1.9419840000000002</v>
      </c>
      <c r="E61" s="328"/>
      <c r="F61" s="44"/>
      <c r="G61" s="44"/>
      <c r="H61" s="44"/>
      <c r="I61" s="44"/>
    </row>
    <row r="62" spans="1:9" x14ac:dyDescent="0.2">
      <c r="A62" s="126" t="s">
        <v>36</v>
      </c>
      <c r="B62" s="147" t="s">
        <v>236</v>
      </c>
      <c r="C62" s="75">
        <v>1.8499999999999999E-2</v>
      </c>
      <c r="D62" s="343">
        <f t="shared" si="1"/>
        <v>22.454190000000001</v>
      </c>
      <c r="E62" s="328"/>
      <c r="F62" s="44"/>
      <c r="G62" s="44"/>
      <c r="H62" s="51"/>
      <c r="I62" s="44"/>
    </row>
    <row r="63" spans="1:9" ht="22.5" x14ac:dyDescent="0.2">
      <c r="A63" s="126" t="s">
        <v>39</v>
      </c>
      <c r="B63" s="147" t="s">
        <v>237</v>
      </c>
      <c r="C63" s="74">
        <v>6.8999999999999999E-3</v>
      </c>
      <c r="D63" s="343">
        <f>C63*$D$22</f>
        <v>8.3748059999999995</v>
      </c>
      <c r="E63" s="328"/>
      <c r="F63" s="44"/>
      <c r="G63" s="44"/>
      <c r="H63" s="44"/>
      <c r="I63" s="44"/>
    </row>
    <row r="64" spans="1:9" x14ac:dyDescent="0.2">
      <c r="A64" s="126" t="s">
        <v>41</v>
      </c>
      <c r="B64" s="147" t="s">
        <v>108</v>
      </c>
      <c r="C64" s="75">
        <v>3.04E-2</v>
      </c>
      <c r="D64" s="343">
        <f t="shared" si="1"/>
        <v>36.897696000000003</v>
      </c>
      <c r="E64" s="328"/>
      <c r="F64" s="44"/>
      <c r="G64" s="44"/>
      <c r="H64" s="44"/>
      <c r="I64" s="44"/>
    </row>
    <row r="65" spans="1:9" x14ac:dyDescent="0.2">
      <c r="A65" s="44"/>
      <c r="B65" s="149" t="s">
        <v>229</v>
      </c>
      <c r="C65" s="150">
        <f>TRUNC(SUM(C59:C64),8)</f>
        <v>6.1935999999999998E-2</v>
      </c>
      <c r="D65" s="327">
        <f>SUM(D59:E64)</f>
        <v>75.174200640000009</v>
      </c>
      <c r="E65" s="328"/>
      <c r="F65" s="44"/>
      <c r="G65" s="44"/>
      <c r="H65" s="44"/>
      <c r="I65" s="44"/>
    </row>
    <row r="66" spans="1:9" x14ac:dyDescent="0.2">
      <c r="A66" s="44"/>
      <c r="B66" s="346" t="s">
        <v>238</v>
      </c>
      <c r="C66" s="347"/>
      <c r="D66" s="347"/>
      <c r="E66" s="348"/>
      <c r="F66" s="44"/>
      <c r="G66" s="44"/>
      <c r="H66" s="44"/>
      <c r="I66" s="44"/>
    </row>
    <row r="67" spans="1:9" x14ac:dyDescent="0.2">
      <c r="A67" s="44"/>
      <c r="B67" s="346"/>
      <c r="C67" s="347"/>
      <c r="D67" s="347"/>
      <c r="E67" s="348"/>
      <c r="F67" s="44"/>
      <c r="G67" s="44"/>
      <c r="H67" s="44"/>
      <c r="I67" s="44"/>
    </row>
    <row r="68" spans="1:9" x14ac:dyDescent="0.2">
      <c r="A68" s="44"/>
      <c r="B68" s="346" t="s">
        <v>121</v>
      </c>
      <c r="C68" s="347"/>
      <c r="D68" s="347"/>
      <c r="E68" s="348"/>
      <c r="F68" s="44"/>
      <c r="G68" s="44"/>
      <c r="H68" s="44"/>
      <c r="I68" s="44"/>
    </row>
    <row r="69" spans="1:9" x14ac:dyDescent="0.2">
      <c r="A69" s="44"/>
      <c r="B69" s="127" t="s">
        <v>239</v>
      </c>
      <c r="C69" s="145"/>
      <c r="D69" s="341" t="s">
        <v>206</v>
      </c>
      <c r="E69" s="342"/>
      <c r="F69" s="48"/>
      <c r="G69" s="44"/>
      <c r="H69" s="48"/>
      <c r="I69" s="44"/>
    </row>
    <row r="70" spans="1:9" x14ac:dyDescent="0.2">
      <c r="A70" s="126" t="s">
        <v>28</v>
      </c>
      <c r="B70" s="151" t="s">
        <v>125</v>
      </c>
      <c r="C70" s="94">
        <v>1.6199999999999999E-2</v>
      </c>
      <c r="D70" s="343">
        <f>C70*(D65+D55+D22)</f>
        <v>41.064704410233595</v>
      </c>
      <c r="E70" s="328"/>
      <c r="F70" s="44"/>
      <c r="G70" s="44"/>
      <c r="H70" s="48"/>
      <c r="I70" s="44"/>
    </row>
    <row r="71" spans="1:9" x14ac:dyDescent="0.2">
      <c r="A71" s="126" t="s">
        <v>31</v>
      </c>
      <c r="B71" s="151" t="s">
        <v>126</v>
      </c>
      <c r="C71" s="74">
        <v>5.5999999999999999E-3</v>
      </c>
      <c r="D71" s="343">
        <f>C71*(D65+D55+D22)</f>
        <v>14.195206462796801</v>
      </c>
      <c r="E71" s="328"/>
      <c r="F71" s="44"/>
      <c r="G71" s="44"/>
      <c r="H71" s="48"/>
      <c r="I71" s="44"/>
    </row>
    <row r="72" spans="1:9" x14ac:dyDescent="0.2">
      <c r="A72" s="126" t="s">
        <v>34</v>
      </c>
      <c r="B72" s="151" t="s">
        <v>127</v>
      </c>
      <c r="C72" s="74">
        <v>2.9999999999999997E-4</v>
      </c>
      <c r="D72" s="343">
        <f>C72*(D65+D55+D22)</f>
        <v>0.76045748907839994</v>
      </c>
      <c r="E72" s="328"/>
      <c r="F72" s="44"/>
      <c r="G72" s="44"/>
      <c r="H72" s="48"/>
      <c r="I72" s="44"/>
    </row>
    <row r="73" spans="1:9" x14ac:dyDescent="0.2">
      <c r="A73" s="126" t="s">
        <v>36</v>
      </c>
      <c r="B73" s="151" t="s">
        <v>128</v>
      </c>
      <c r="C73" s="74">
        <v>3.3E-3</v>
      </c>
      <c r="D73" s="343">
        <f>C73*(D65+D55+D22)</f>
        <v>8.3650323798624004</v>
      </c>
      <c r="E73" s="328"/>
      <c r="F73" s="44"/>
      <c r="G73" s="44"/>
      <c r="H73" s="48"/>
      <c r="I73" s="44"/>
    </row>
    <row r="74" spans="1:9" x14ac:dyDescent="0.2">
      <c r="A74" s="126" t="s">
        <v>39</v>
      </c>
      <c r="B74" s="151" t="s">
        <v>129</v>
      </c>
      <c r="C74" s="74">
        <v>1.1000000000000001E-3</v>
      </c>
      <c r="D74" s="343">
        <f>C74*(D65+D55+D22)</f>
        <v>2.7883441266208004</v>
      </c>
      <c r="E74" s="328"/>
      <c r="F74" s="44"/>
      <c r="G74" s="44"/>
      <c r="H74" s="48"/>
      <c r="I74" s="44"/>
    </row>
    <row r="75" spans="1:9" x14ac:dyDescent="0.2">
      <c r="A75" s="126" t="s">
        <v>41</v>
      </c>
      <c r="B75" s="151" t="s">
        <v>240</v>
      </c>
      <c r="C75" s="74">
        <v>0</v>
      </c>
      <c r="D75" s="343">
        <f>C75*$D$22</f>
        <v>0</v>
      </c>
      <c r="E75" s="328"/>
      <c r="F75" s="44"/>
      <c r="G75" s="44"/>
      <c r="H75" s="48"/>
      <c r="I75" s="44"/>
    </row>
    <row r="76" spans="1:9" x14ac:dyDescent="0.2">
      <c r="A76" s="44"/>
      <c r="B76" s="149" t="s">
        <v>211</v>
      </c>
      <c r="C76" s="152">
        <f>SUM(C70:C75)</f>
        <v>2.6500000000000003E-2</v>
      </c>
      <c r="D76" s="327">
        <f>SUM(D70:E75)</f>
        <v>67.173744868591996</v>
      </c>
      <c r="E76" s="328"/>
      <c r="F76" s="44"/>
      <c r="G76" s="44"/>
      <c r="H76" s="48"/>
      <c r="I76" s="44"/>
    </row>
    <row r="77" spans="1:9" x14ac:dyDescent="0.2">
      <c r="A77" s="44"/>
      <c r="B77" s="358"/>
      <c r="C77" s="359"/>
      <c r="D77" s="359"/>
      <c r="E77" s="360"/>
      <c r="F77" s="44"/>
      <c r="G77" s="44"/>
      <c r="H77" s="48"/>
      <c r="I77" s="44"/>
    </row>
    <row r="78" spans="1:9" x14ac:dyDescent="0.2">
      <c r="A78" s="44"/>
      <c r="B78" s="127" t="s">
        <v>241</v>
      </c>
      <c r="C78" s="145"/>
      <c r="D78" s="341" t="s">
        <v>206</v>
      </c>
      <c r="E78" s="342"/>
      <c r="F78" s="44"/>
      <c r="G78" s="44"/>
      <c r="H78" s="44"/>
      <c r="I78" s="44"/>
    </row>
    <row r="79" spans="1:9" x14ac:dyDescent="0.2">
      <c r="A79" s="126" t="s">
        <v>28</v>
      </c>
      <c r="B79" s="153" t="s">
        <v>143</v>
      </c>
      <c r="C79" s="148">
        <v>0</v>
      </c>
      <c r="D79" s="356">
        <f>TRUNC(C79*$D$22,2)</f>
        <v>0</v>
      </c>
      <c r="E79" s="357"/>
      <c r="F79" s="44"/>
      <c r="G79" s="44"/>
      <c r="H79" s="44"/>
      <c r="I79" s="44"/>
    </row>
    <row r="80" spans="1:9" x14ac:dyDescent="0.2">
      <c r="A80" s="44"/>
      <c r="B80" s="149" t="s">
        <v>211</v>
      </c>
      <c r="C80" s="152">
        <f>SUM(C79:C79)</f>
        <v>0</v>
      </c>
      <c r="D80" s="327">
        <f>SUM(D79:E79)</f>
        <v>0</v>
      </c>
      <c r="E80" s="328"/>
      <c r="F80" s="44"/>
      <c r="G80" s="44"/>
      <c r="H80" s="44"/>
      <c r="I80" s="44"/>
    </row>
    <row r="81" spans="1:9" x14ac:dyDescent="0.2">
      <c r="A81" s="44"/>
      <c r="B81" s="346" t="s">
        <v>144</v>
      </c>
      <c r="C81" s="347"/>
      <c r="D81" s="347"/>
      <c r="E81" s="348"/>
      <c r="F81" s="44"/>
      <c r="G81" s="44"/>
      <c r="H81" s="44"/>
      <c r="I81" s="44"/>
    </row>
    <row r="82" spans="1:9" x14ac:dyDescent="0.2">
      <c r="A82" s="44"/>
      <c r="B82" s="127" t="s">
        <v>242</v>
      </c>
      <c r="C82" s="145"/>
      <c r="D82" s="341" t="s">
        <v>206</v>
      </c>
      <c r="E82" s="342"/>
      <c r="F82" s="44"/>
      <c r="G82" s="44"/>
      <c r="H82" s="44"/>
      <c r="I82" s="44"/>
    </row>
    <row r="83" spans="1:9" x14ac:dyDescent="0.2">
      <c r="A83" s="126" t="s">
        <v>122</v>
      </c>
      <c r="B83" s="352" t="s">
        <v>123</v>
      </c>
      <c r="C83" s="353"/>
      <c r="D83" s="343">
        <f>D76</f>
        <v>67.173744868591996</v>
      </c>
      <c r="E83" s="328"/>
      <c r="F83" s="44"/>
      <c r="G83" s="44"/>
      <c r="H83" s="44"/>
      <c r="I83" s="44"/>
    </row>
    <row r="84" spans="1:9" x14ac:dyDescent="0.2">
      <c r="A84" s="126" t="s">
        <v>141</v>
      </c>
      <c r="B84" s="352" t="s">
        <v>147</v>
      </c>
      <c r="C84" s="353"/>
      <c r="D84" s="343">
        <f>D80</f>
        <v>0</v>
      </c>
      <c r="E84" s="328"/>
      <c r="F84" s="44"/>
      <c r="G84" s="44"/>
      <c r="H84" s="44"/>
      <c r="I84" s="44"/>
    </row>
    <row r="85" spans="1:9" x14ac:dyDescent="0.2">
      <c r="A85" s="44"/>
      <c r="B85" s="354" t="s">
        <v>229</v>
      </c>
      <c r="C85" s="355"/>
      <c r="D85" s="327">
        <f>SUM(D83:E84)</f>
        <v>67.173744868591996</v>
      </c>
      <c r="E85" s="328"/>
      <c r="F85" s="44"/>
      <c r="G85" s="44"/>
      <c r="H85" s="44"/>
      <c r="I85" s="44"/>
    </row>
    <row r="86" spans="1:9" x14ac:dyDescent="0.2">
      <c r="A86" s="44"/>
      <c r="B86" s="346" t="s">
        <v>243</v>
      </c>
      <c r="C86" s="347"/>
      <c r="D86" s="347"/>
      <c r="E86" s="348"/>
      <c r="F86" s="44"/>
      <c r="G86" s="44"/>
      <c r="H86" s="44"/>
      <c r="I86" s="44"/>
    </row>
    <row r="87" spans="1:9" x14ac:dyDescent="0.2">
      <c r="A87" s="44"/>
      <c r="B87" s="346"/>
      <c r="C87" s="347"/>
      <c r="D87" s="347"/>
      <c r="E87" s="348"/>
      <c r="F87" s="44"/>
      <c r="G87" s="44"/>
      <c r="H87" s="44"/>
      <c r="I87" s="44"/>
    </row>
    <row r="88" spans="1:9" x14ac:dyDescent="0.2">
      <c r="A88" s="44"/>
      <c r="B88" s="129" t="s">
        <v>244</v>
      </c>
      <c r="C88" s="130"/>
      <c r="D88" s="341" t="s">
        <v>206</v>
      </c>
      <c r="E88" s="342"/>
      <c r="F88" s="44"/>
      <c r="G88" s="44"/>
      <c r="H88" s="44"/>
      <c r="I88" s="44"/>
    </row>
    <row r="89" spans="1:9" x14ac:dyDescent="0.2">
      <c r="A89" s="126" t="s">
        <v>28</v>
      </c>
      <c r="B89" s="135" t="s">
        <v>151</v>
      </c>
      <c r="C89" s="142"/>
      <c r="D89" s="336">
        <f>Uniformes!F23</f>
        <v>41.794166655952388</v>
      </c>
      <c r="E89" s="337"/>
      <c r="F89" s="44"/>
      <c r="G89" s="44"/>
      <c r="H89" s="44"/>
      <c r="I89" s="44"/>
    </row>
    <row r="90" spans="1:9" x14ac:dyDescent="0.2">
      <c r="A90" s="126" t="s">
        <v>31</v>
      </c>
      <c r="B90" s="135" t="s">
        <v>152</v>
      </c>
      <c r="C90" s="142"/>
      <c r="D90" s="336">
        <v>0</v>
      </c>
      <c r="E90" s="337"/>
      <c r="F90" s="44"/>
      <c r="G90" s="44"/>
      <c r="H90" s="44"/>
      <c r="I90" s="44"/>
    </row>
    <row r="91" spans="1:9" x14ac:dyDescent="0.2">
      <c r="A91" s="126" t="s">
        <v>34</v>
      </c>
      <c r="B91" s="135" t="s">
        <v>153</v>
      </c>
      <c r="C91" s="142"/>
      <c r="D91" s="336">
        <v>0</v>
      </c>
      <c r="E91" s="337"/>
      <c r="F91" s="44"/>
      <c r="G91" s="44"/>
      <c r="H91" s="44"/>
      <c r="I91" s="44"/>
    </row>
    <row r="92" spans="1:9" x14ac:dyDescent="0.2">
      <c r="A92" s="126" t="s">
        <v>36</v>
      </c>
      <c r="B92" s="143" t="s">
        <v>287</v>
      </c>
      <c r="C92" s="142"/>
      <c r="D92" s="336">
        <f>'Relógio Ponto'!F10</f>
        <v>0.11701580882352942</v>
      </c>
      <c r="E92" s="337"/>
      <c r="F92" s="44"/>
      <c r="G92" s="44"/>
      <c r="H92" s="44"/>
      <c r="I92" s="44"/>
    </row>
    <row r="93" spans="1:9" x14ac:dyDescent="0.2">
      <c r="A93" s="44"/>
      <c r="B93" s="133" t="s">
        <v>245</v>
      </c>
      <c r="C93" s="144"/>
      <c r="D93" s="351">
        <f>SUM(D89:E92)</f>
        <v>41.911182464775919</v>
      </c>
      <c r="E93" s="351"/>
      <c r="F93" s="44"/>
      <c r="G93" s="44"/>
      <c r="H93" s="44"/>
      <c r="I93" s="44"/>
    </row>
    <row r="94" spans="1:9" x14ac:dyDescent="0.2">
      <c r="A94" s="44"/>
      <c r="B94" s="346" t="s">
        <v>246</v>
      </c>
      <c r="C94" s="347"/>
      <c r="D94" s="347"/>
      <c r="E94" s="348"/>
      <c r="F94" s="44"/>
      <c r="G94" s="44"/>
      <c r="H94" s="44"/>
      <c r="I94" s="44"/>
    </row>
    <row r="95" spans="1:9" x14ac:dyDescent="0.2">
      <c r="A95" s="44"/>
      <c r="B95" s="346"/>
      <c r="C95" s="347"/>
      <c r="D95" s="347"/>
      <c r="E95" s="348"/>
      <c r="F95" s="44"/>
      <c r="G95" s="44"/>
      <c r="H95" s="44"/>
      <c r="I95" s="44"/>
    </row>
    <row r="96" spans="1:9" x14ac:dyDescent="0.2">
      <c r="A96" s="44"/>
      <c r="B96" s="154" t="s">
        <v>247</v>
      </c>
      <c r="C96" s="129"/>
      <c r="D96" s="341" t="s">
        <v>206</v>
      </c>
      <c r="E96" s="342"/>
      <c r="F96" s="44"/>
      <c r="G96" s="44"/>
      <c r="H96" s="44"/>
      <c r="I96" s="44"/>
    </row>
    <row r="97" spans="1:9" x14ac:dyDescent="0.2">
      <c r="A97" s="126" t="s">
        <v>28</v>
      </c>
      <c r="B97" s="139" t="s">
        <v>248</v>
      </c>
      <c r="C97" s="161">
        <v>0.02</v>
      </c>
      <c r="D97" s="343">
        <f>C97*D112</f>
        <v>52.878864485227361</v>
      </c>
      <c r="E97" s="344"/>
      <c r="F97" s="44"/>
      <c r="G97" s="44"/>
      <c r="H97" s="44"/>
      <c r="I97" s="44"/>
    </row>
    <row r="98" spans="1:9" x14ac:dyDescent="0.2">
      <c r="A98" s="126" t="s">
        <v>31</v>
      </c>
      <c r="B98" s="139" t="s">
        <v>249</v>
      </c>
      <c r="C98" s="161">
        <v>0.02</v>
      </c>
      <c r="D98" s="343">
        <f>(D97+D112)*C98</f>
        <v>53.936441774931907</v>
      </c>
      <c r="E98" s="328"/>
      <c r="F98" s="44"/>
      <c r="G98" s="44"/>
      <c r="H98" s="44"/>
      <c r="I98" s="44"/>
    </row>
    <row r="99" spans="1:9" x14ac:dyDescent="0.2">
      <c r="A99" s="146" t="s">
        <v>34</v>
      </c>
      <c r="B99" s="155" t="s">
        <v>250</v>
      </c>
      <c r="C99" s="156"/>
      <c r="D99" s="349"/>
      <c r="E99" s="350"/>
      <c r="F99" s="44"/>
      <c r="G99" s="44"/>
      <c r="H99" s="44"/>
      <c r="I99" s="44"/>
    </row>
    <row r="100" spans="1:9" x14ac:dyDescent="0.2">
      <c r="A100" s="125"/>
      <c r="B100" s="157" t="s">
        <v>251</v>
      </c>
      <c r="C100" s="161">
        <v>0.05</v>
      </c>
      <c r="D100" s="343">
        <f>($D97+$D98+$D112)/(1-$C$103)*C100</f>
        <v>150.56149592345523</v>
      </c>
      <c r="E100" s="344"/>
      <c r="F100" s="125"/>
      <c r="G100" s="125"/>
      <c r="H100" s="125"/>
      <c r="I100" s="125"/>
    </row>
    <row r="101" spans="1:9" x14ac:dyDescent="0.2">
      <c r="A101" s="44"/>
      <c r="B101" s="158" t="s">
        <v>252</v>
      </c>
      <c r="C101" s="161">
        <v>0.03</v>
      </c>
      <c r="D101" s="343">
        <f>($D97+$D98+$D112)/(1-$C$103)*C101</f>
        <v>90.336897554073133</v>
      </c>
      <c r="E101" s="344"/>
      <c r="F101" s="44"/>
      <c r="G101" s="44"/>
      <c r="H101" s="44"/>
      <c r="I101" s="44"/>
    </row>
    <row r="102" spans="1:9" x14ac:dyDescent="0.2">
      <c r="A102" s="44"/>
      <c r="B102" s="158" t="s">
        <v>253</v>
      </c>
      <c r="C102" s="161">
        <v>6.4999999999999997E-3</v>
      </c>
      <c r="D102" s="343">
        <f>($D97+$D98+$D112)/(1-$C$103)*C102</f>
        <v>19.572994470049178</v>
      </c>
      <c r="E102" s="344"/>
      <c r="F102" s="44"/>
      <c r="G102" s="44"/>
      <c r="H102" s="44"/>
      <c r="I102" s="44"/>
    </row>
    <row r="103" spans="1:9" x14ac:dyDescent="0.2">
      <c r="A103" s="44"/>
      <c r="B103" s="146" t="s">
        <v>254</v>
      </c>
      <c r="C103" s="150">
        <f>TRUNC(SUM(C100:C102),8)</f>
        <v>8.6499999999999994E-2</v>
      </c>
      <c r="D103" s="327">
        <f>SUM(D97:E102)</f>
        <v>367.28669420773679</v>
      </c>
      <c r="E103" s="328"/>
      <c r="F103" s="44"/>
      <c r="G103" s="44"/>
      <c r="H103" s="44"/>
      <c r="I103" s="44"/>
    </row>
    <row r="104" spans="1:9" x14ac:dyDescent="0.2">
      <c r="A104" s="44"/>
      <c r="B104" s="345" t="s">
        <v>255</v>
      </c>
      <c r="C104" s="345"/>
      <c r="D104" s="345"/>
      <c r="E104" s="345"/>
      <c r="F104" s="44"/>
      <c r="G104" s="44"/>
      <c r="H104" s="44"/>
      <c r="I104" s="44"/>
    </row>
    <row r="105" spans="1:9" x14ac:dyDescent="0.2">
      <c r="A105" s="44"/>
      <c r="B105" s="345"/>
      <c r="C105" s="345"/>
      <c r="D105" s="345"/>
      <c r="E105" s="345"/>
      <c r="F105" s="44"/>
      <c r="G105" s="44"/>
      <c r="H105" s="44"/>
      <c r="I105" s="44"/>
    </row>
    <row r="106" spans="1:9" x14ac:dyDescent="0.2">
      <c r="A106" s="44"/>
      <c r="B106" s="339" t="s">
        <v>256</v>
      </c>
      <c r="C106" s="340"/>
      <c r="D106" s="341" t="s">
        <v>206</v>
      </c>
      <c r="E106" s="342"/>
      <c r="F106" s="44"/>
      <c r="G106" s="44"/>
      <c r="H106" s="44"/>
      <c r="I106" s="44"/>
    </row>
    <row r="107" spans="1:9" x14ac:dyDescent="0.2">
      <c r="A107" s="126" t="s">
        <v>28</v>
      </c>
      <c r="B107" s="333" t="s">
        <v>257</v>
      </c>
      <c r="C107" s="334"/>
      <c r="D107" s="336">
        <f>+D22</f>
        <v>1213.74</v>
      </c>
      <c r="E107" s="337"/>
      <c r="F107" s="44"/>
      <c r="G107" s="44"/>
      <c r="H107" s="44"/>
      <c r="I107" s="44"/>
    </row>
    <row r="108" spans="1:9" x14ac:dyDescent="0.2">
      <c r="A108" s="126" t="s">
        <v>31</v>
      </c>
      <c r="B108" s="333" t="s">
        <v>47</v>
      </c>
      <c r="C108" s="334"/>
      <c r="D108" s="336">
        <f>D55</f>
        <v>1245.9440962880001</v>
      </c>
      <c r="E108" s="337"/>
      <c r="F108" s="44"/>
      <c r="G108" s="44"/>
      <c r="H108" s="44"/>
      <c r="I108" s="44"/>
    </row>
    <row r="109" spans="1:9" x14ac:dyDescent="0.2">
      <c r="A109" s="126" t="s">
        <v>34</v>
      </c>
      <c r="B109" s="333" t="s">
        <v>101</v>
      </c>
      <c r="C109" s="334"/>
      <c r="D109" s="336">
        <f>D65</f>
        <v>75.174200640000009</v>
      </c>
      <c r="E109" s="337"/>
      <c r="F109" s="44"/>
      <c r="G109" s="44"/>
      <c r="H109" s="44"/>
      <c r="I109" s="44"/>
    </row>
    <row r="110" spans="1:9" x14ac:dyDescent="0.2">
      <c r="A110" s="159" t="s">
        <v>36</v>
      </c>
      <c r="B110" s="333" t="s">
        <v>170</v>
      </c>
      <c r="C110" s="334"/>
      <c r="D110" s="336">
        <f>D85</f>
        <v>67.173744868591996</v>
      </c>
      <c r="E110" s="337"/>
      <c r="F110" s="44"/>
      <c r="G110" s="44"/>
      <c r="H110" s="44"/>
      <c r="I110" s="44"/>
    </row>
    <row r="111" spans="1:9" x14ac:dyDescent="0.2">
      <c r="A111" s="160" t="s">
        <v>39</v>
      </c>
      <c r="B111" s="338" t="s">
        <v>148</v>
      </c>
      <c r="C111" s="334"/>
      <c r="D111" s="336">
        <f>D93</f>
        <v>41.911182464775919</v>
      </c>
      <c r="E111" s="337"/>
      <c r="F111" s="44"/>
      <c r="G111" s="44"/>
      <c r="H111" s="44"/>
      <c r="I111" s="44"/>
    </row>
    <row r="112" spans="1:9" x14ac:dyDescent="0.2">
      <c r="A112" s="44"/>
      <c r="B112" s="329" t="s">
        <v>258</v>
      </c>
      <c r="C112" s="330"/>
      <c r="D112" s="331">
        <f>SUM(D107:E111)</f>
        <v>2643.943224261368</v>
      </c>
      <c r="E112" s="332"/>
      <c r="F112" s="44"/>
      <c r="G112" s="44"/>
      <c r="H112" s="44"/>
      <c r="I112" s="44"/>
    </row>
    <row r="113" spans="1:9" x14ac:dyDescent="0.2">
      <c r="A113" s="126" t="s">
        <v>41</v>
      </c>
      <c r="B113" s="333" t="s">
        <v>259</v>
      </c>
      <c r="C113" s="334"/>
      <c r="D113" s="335">
        <f>+D103</f>
        <v>367.28669420773679</v>
      </c>
      <c r="E113" s="335"/>
      <c r="F113" s="44"/>
      <c r="G113" s="44"/>
      <c r="H113" s="44"/>
      <c r="I113" s="44"/>
    </row>
    <row r="114" spans="1:9" x14ac:dyDescent="0.2">
      <c r="A114" s="44"/>
      <c r="B114" s="325" t="s">
        <v>260</v>
      </c>
      <c r="C114" s="326"/>
      <c r="D114" s="327">
        <f>+D112+D113</f>
        <v>3011.2299184691046</v>
      </c>
      <c r="E114" s="328"/>
      <c r="F114" s="44"/>
      <c r="G114" s="44"/>
      <c r="H114" s="44"/>
      <c r="I114" s="44"/>
    </row>
    <row r="115" spans="1:9" x14ac:dyDescent="0.2">
      <c r="B115" s="325" t="s">
        <v>295</v>
      </c>
      <c r="C115" s="326"/>
      <c r="D115" s="327">
        <f>D114*E10</f>
        <v>18067.37951081463</v>
      </c>
      <c r="E115" s="328"/>
    </row>
  </sheetData>
  <mergeCells count="144">
    <mergeCell ref="B1:E1"/>
    <mergeCell ref="B2:E2"/>
    <mergeCell ref="D3:E3"/>
    <mergeCell ref="B4:C4"/>
    <mergeCell ref="D4:E4"/>
    <mergeCell ref="D5:E5"/>
    <mergeCell ref="B12:C12"/>
    <mergeCell ref="D12:E12"/>
    <mergeCell ref="B13:E13"/>
    <mergeCell ref="B14:E14"/>
    <mergeCell ref="B15:C15"/>
    <mergeCell ref="D15:E15"/>
    <mergeCell ref="B6:C6"/>
    <mergeCell ref="D6:E6"/>
    <mergeCell ref="B7:E7"/>
    <mergeCell ref="B8:E8"/>
    <mergeCell ref="B10:B11"/>
    <mergeCell ref="C10:C11"/>
    <mergeCell ref="D10:D11"/>
    <mergeCell ref="E10:E11"/>
    <mergeCell ref="B19:C19"/>
    <mergeCell ref="D19:E19"/>
    <mergeCell ref="B20:C20"/>
    <mergeCell ref="D20:E20"/>
    <mergeCell ref="B21:C21"/>
    <mergeCell ref="D21:E21"/>
    <mergeCell ref="B16:C16"/>
    <mergeCell ref="D16:E16"/>
    <mergeCell ref="B17:C17"/>
    <mergeCell ref="D17:E17"/>
    <mergeCell ref="B18:C18"/>
    <mergeCell ref="D18:E18"/>
    <mergeCell ref="D28:E28"/>
    <mergeCell ref="D29:E29"/>
    <mergeCell ref="B30:E30"/>
    <mergeCell ref="D31:E31"/>
    <mergeCell ref="D32:E32"/>
    <mergeCell ref="D33:E33"/>
    <mergeCell ref="D22:E22"/>
    <mergeCell ref="B23:E23"/>
    <mergeCell ref="B24:E24"/>
    <mergeCell ref="B25:E25"/>
    <mergeCell ref="D26:E26"/>
    <mergeCell ref="D27:E27"/>
    <mergeCell ref="D40:E40"/>
    <mergeCell ref="B41:E41"/>
    <mergeCell ref="D42:E42"/>
    <mergeCell ref="D43:E43"/>
    <mergeCell ref="D44:E44"/>
    <mergeCell ref="D45:E45"/>
    <mergeCell ref="D34:E34"/>
    <mergeCell ref="D35:E35"/>
    <mergeCell ref="D36:E36"/>
    <mergeCell ref="D37:E37"/>
    <mergeCell ref="D38:E38"/>
    <mergeCell ref="D39:E39"/>
    <mergeCell ref="D51:E51"/>
    <mergeCell ref="B52:C52"/>
    <mergeCell ref="D52:E52"/>
    <mergeCell ref="B53:C53"/>
    <mergeCell ref="D53:E53"/>
    <mergeCell ref="B54:C54"/>
    <mergeCell ref="D54:E54"/>
    <mergeCell ref="G45:I45"/>
    <mergeCell ref="D46:E46"/>
    <mergeCell ref="D47:E47"/>
    <mergeCell ref="D48:E48"/>
    <mergeCell ref="D49:E49"/>
    <mergeCell ref="B50:E50"/>
    <mergeCell ref="D60:E60"/>
    <mergeCell ref="D61:E61"/>
    <mergeCell ref="D62:E62"/>
    <mergeCell ref="D63:E63"/>
    <mergeCell ref="D64:E64"/>
    <mergeCell ref="D65:E65"/>
    <mergeCell ref="B55:C55"/>
    <mergeCell ref="D55:E55"/>
    <mergeCell ref="B56:E56"/>
    <mergeCell ref="B57:E57"/>
    <mergeCell ref="D58:E58"/>
    <mergeCell ref="D59:E59"/>
    <mergeCell ref="D72:E72"/>
    <mergeCell ref="D73:E73"/>
    <mergeCell ref="D74:E74"/>
    <mergeCell ref="D75:E75"/>
    <mergeCell ref="D76:E76"/>
    <mergeCell ref="B77:E77"/>
    <mergeCell ref="B66:E66"/>
    <mergeCell ref="B67:E67"/>
    <mergeCell ref="B68:E68"/>
    <mergeCell ref="D69:E69"/>
    <mergeCell ref="D70:E70"/>
    <mergeCell ref="D71:E71"/>
    <mergeCell ref="B84:C84"/>
    <mergeCell ref="D84:E84"/>
    <mergeCell ref="B85:C85"/>
    <mergeCell ref="D85:E85"/>
    <mergeCell ref="B86:E86"/>
    <mergeCell ref="B87:E87"/>
    <mergeCell ref="D78:E78"/>
    <mergeCell ref="D79:E79"/>
    <mergeCell ref="D80:E80"/>
    <mergeCell ref="B81:E81"/>
    <mergeCell ref="D82:E82"/>
    <mergeCell ref="B83:C83"/>
    <mergeCell ref="D83:E83"/>
    <mergeCell ref="B94:E94"/>
    <mergeCell ref="B95:E95"/>
    <mergeCell ref="D96:E96"/>
    <mergeCell ref="D97:E97"/>
    <mergeCell ref="D98:E98"/>
    <mergeCell ref="D99:E99"/>
    <mergeCell ref="D88:E88"/>
    <mergeCell ref="D89:E89"/>
    <mergeCell ref="D90:E90"/>
    <mergeCell ref="D91:E91"/>
    <mergeCell ref="D92:E92"/>
    <mergeCell ref="D93:E93"/>
    <mergeCell ref="B106:C106"/>
    <mergeCell ref="D106:E106"/>
    <mergeCell ref="B107:C107"/>
    <mergeCell ref="D107:E107"/>
    <mergeCell ref="B108:C108"/>
    <mergeCell ref="D108:E108"/>
    <mergeCell ref="D100:E100"/>
    <mergeCell ref="D101:E101"/>
    <mergeCell ref="D102:E102"/>
    <mergeCell ref="D103:E103"/>
    <mergeCell ref="B104:E104"/>
    <mergeCell ref="B105:E105"/>
    <mergeCell ref="B115:C115"/>
    <mergeCell ref="D115:E115"/>
    <mergeCell ref="B112:C112"/>
    <mergeCell ref="D112:E112"/>
    <mergeCell ref="B113:C113"/>
    <mergeCell ref="D113:E113"/>
    <mergeCell ref="B114:C114"/>
    <mergeCell ref="D114:E114"/>
    <mergeCell ref="B109:C109"/>
    <mergeCell ref="D109:E109"/>
    <mergeCell ref="B110:C110"/>
    <mergeCell ref="D110:E110"/>
    <mergeCell ref="B111:C111"/>
    <mergeCell ref="D111:E111"/>
  </mergeCells>
  <pageMargins left="0.511811024" right="0.511811024" top="0.78740157499999996" bottom="0.78740157499999996" header="0.31496062000000002" footer="0.31496062000000002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568BC-172B-4BBD-852E-CF3E13F02445}">
  <dimension ref="A1:I114"/>
  <sheetViews>
    <sheetView topLeftCell="A85" zoomScale="142" zoomScaleNormal="142" workbookViewId="0">
      <selection activeCell="D93" sqref="D93:E93"/>
    </sheetView>
  </sheetViews>
  <sheetFormatPr defaultRowHeight="11.25" x14ac:dyDescent="0.2"/>
  <cols>
    <col min="1" max="1" width="4.5703125" style="50" customWidth="1"/>
    <col min="2" max="2" width="48.28515625" style="50" customWidth="1"/>
    <col min="3" max="3" width="8" style="50" customWidth="1"/>
    <col min="4" max="4" width="12.140625" style="50" customWidth="1"/>
    <col min="5" max="5" width="14" style="50" customWidth="1"/>
    <col min="6" max="6" width="9.140625" style="50"/>
    <col min="7" max="7" width="5.7109375" style="50" customWidth="1"/>
    <col min="8" max="8" width="12.42578125" style="50" customWidth="1"/>
    <col min="9" max="16384" width="9.140625" style="50"/>
  </cols>
  <sheetData>
    <row r="1" spans="1:9" x14ac:dyDescent="0.2">
      <c r="A1" s="44"/>
      <c r="B1" s="290"/>
      <c r="C1" s="290"/>
      <c r="D1" s="290"/>
      <c r="E1" s="290"/>
      <c r="F1" s="44"/>
      <c r="G1" s="44"/>
      <c r="H1" s="44"/>
      <c r="I1" s="44"/>
    </row>
    <row r="2" spans="1:9" x14ac:dyDescent="0.2">
      <c r="A2" s="44"/>
      <c r="B2" s="291" t="s">
        <v>190</v>
      </c>
      <c r="C2" s="291"/>
      <c r="D2" s="291"/>
      <c r="E2" s="291"/>
      <c r="F2" s="44"/>
      <c r="G2" s="44"/>
      <c r="H2" s="44"/>
      <c r="I2" s="44"/>
    </row>
    <row r="3" spans="1:9" ht="13.5" customHeight="1" x14ac:dyDescent="0.2">
      <c r="A3" s="54" t="s">
        <v>28</v>
      </c>
      <c r="B3" s="55" t="s">
        <v>191</v>
      </c>
      <c r="C3" s="56"/>
      <c r="D3" s="292" t="s">
        <v>443</v>
      </c>
      <c r="E3" s="292"/>
      <c r="F3" s="44"/>
      <c r="G3" s="44"/>
      <c r="H3" s="44"/>
      <c r="I3" s="44"/>
    </row>
    <row r="4" spans="1:9" x14ac:dyDescent="0.2">
      <c r="A4" s="54" t="s">
        <v>31</v>
      </c>
      <c r="B4" s="293" t="s">
        <v>192</v>
      </c>
      <c r="C4" s="293"/>
      <c r="D4" s="294" t="s">
        <v>193</v>
      </c>
      <c r="E4" s="294"/>
      <c r="F4" s="44"/>
      <c r="G4" s="44"/>
      <c r="H4" s="44"/>
      <c r="I4" s="44"/>
    </row>
    <row r="5" spans="1:9" ht="15" customHeight="1" x14ac:dyDescent="0.2">
      <c r="A5" s="54" t="s">
        <v>34</v>
      </c>
      <c r="B5" s="57" t="s">
        <v>194</v>
      </c>
      <c r="C5" s="58"/>
      <c r="D5" s="294" t="s">
        <v>195</v>
      </c>
      <c r="E5" s="294"/>
      <c r="F5" s="44"/>
      <c r="G5" s="44"/>
      <c r="H5" s="44"/>
      <c r="I5" s="44"/>
    </row>
    <row r="6" spans="1:9" x14ac:dyDescent="0.2">
      <c r="A6" s="54" t="s">
        <v>36</v>
      </c>
      <c r="B6" s="293" t="s">
        <v>196</v>
      </c>
      <c r="C6" s="293"/>
      <c r="D6" s="295" t="s">
        <v>197</v>
      </c>
      <c r="E6" s="295"/>
      <c r="F6" s="44"/>
      <c r="G6" s="44"/>
      <c r="H6" s="44"/>
      <c r="I6" s="44"/>
    </row>
    <row r="7" spans="1:9" x14ac:dyDescent="0.2">
      <c r="A7" s="44"/>
      <c r="B7" s="296"/>
      <c r="C7" s="296"/>
      <c r="D7" s="296"/>
      <c r="E7" s="296"/>
      <c r="F7" s="44"/>
      <c r="G7" s="44"/>
      <c r="H7" s="44"/>
      <c r="I7" s="44"/>
    </row>
    <row r="8" spans="1:9" x14ac:dyDescent="0.2">
      <c r="A8" s="44"/>
      <c r="B8" s="297" t="s">
        <v>198</v>
      </c>
      <c r="C8" s="297"/>
      <c r="D8" s="297"/>
      <c r="E8" s="297"/>
      <c r="F8" s="46"/>
      <c r="G8" s="44"/>
      <c r="H8" s="44"/>
      <c r="I8" s="44"/>
    </row>
    <row r="9" spans="1:9" ht="24.75" customHeight="1" x14ac:dyDescent="0.2">
      <c r="A9" s="44"/>
      <c r="B9" s="59" t="s">
        <v>199</v>
      </c>
      <c r="C9" s="59" t="s">
        <v>200</v>
      </c>
      <c r="D9" s="59" t="s">
        <v>19</v>
      </c>
      <c r="E9" s="60" t="s">
        <v>201</v>
      </c>
      <c r="F9" s="44"/>
      <c r="G9" s="44"/>
      <c r="H9" s="44"/>
      <c r="I9" s="44"/>
    </row>
    <row r="10" spans="1:9" x14ac:dyDescent="0.2">
      <c r="A10" s="44"/>
      <c r="B10" s="298" t="s">
        <v>284</v>
      </c>
      <c r="C10" s="298" t="s">
        <v>285</v>
      </c>
      <c r="D10" s="299">
        <v>44562</v>
      </c>
      <c r="E10" s="298">
        <v>1</v>
      </c>
      <c r="F10" s="44"/>
      <c r="G10" s="44"/>
      <c r="H10" s="44"/>
      <c r="I10" s="44"/>
    </row>
    <row r="11" spans="1:9" ht="6.75" customHeight="1" x14ac:dyDescent="0.2">
      <c r="A11" s="44"/>
      <c r="B11" s="298"/>
      <c r="C11" s="298"/>
      <c r="D11" s="298"/>
      <c r="E11" s="298"/>
      <c r="F11" s="44"/>
      <c r="G11" s="44"/>
      <c r="H11" s="44"/>
      <c r="I11" s="44"/>
    </row>
    <row r="12" spans="1:9" x14ac:dyDescent="0.2">
      <c r="A12" s="44"/>
      <c r="B12" s="300" t="s">
        <v>203</v>
      </c>
      <c r="C12" s="300"/>
      <c r="D12" s="301">
        <v>1461.33</v>
      </c>
      <c r="E12" s="301"/>
      <c r="F12" s="44"/>
      <c r="G12" s="44"/>
      <c r="H12" s="44"/>
      <c r="I12" s="44"/>
    </row>
    <row r="13" spans="1:9" x14ac:dyDescent="0.2">
      <c r="A13" s="44"/>
      <c r="B13" s="302" t="s">
        <v>204</v>
      </c>
      <c r="C13" s="302"/>
      <c r="D13" s="302"/>
      <c r="E13" s="302"/>
      <c r="F13" s="44"/>
      <c r="G13" s="44"/>
      <c r="H13" s="44"/>
      <c r="I13" s="44"/>
    </row>
    <row r="14" spans="1:9" x14ac:dyDescent="0.2">
      <c r="A14" s="44"/>
      <c r="B14" s="302"/>
      <c r="C14" s="302"/>
      <c r="D14" s="302"/>
      <c r="E14" s="302"/>
      <c r="F14" s="44"/>
      <c r="G14" s="44"/>
      <c r="H14" s="44"/>
      <c r="I14" s="44"/>
    </row>
    <row r="15" spans="1:9" x14ac:dyDescent="0.2">
      <c r="A15" s="44"/>
      <c r="B15" s="303" t="s">
        <v>205</v>
      </c>
      <c r="C15" s="303"/>
      <c r="D15" s="304" t="s">
        <v>206</v>
      </c>
      <c r="E15" s="304"/>
      <c r="F15" s="44"/>
      <c r="G15" s="44"/>
      <c r="H15" s="44"/>
      <c r="I15" s="44"/>
    </row>
    <row r="16" spans="1:9" x14ac:dyDescent="0.2">
      <c r="A16" s="54" t="s">
        <v>28</v>
      </c>
      <c r="B16" s="305" t="s">
        <v>207</v>
      </c>
      <c r="C16" s="305"/>
      <c r="D16" s="306">
        <f>D12</f>
        <v>1461.33</v>
      </c>
      <c r="E16" s="306"/>
      <c r="F16" s="44"/>
      <c r="G16" s="44"/>
      <c r="H16" s="44"/>
      <c r="I16" s="44"/>
    </row>
    <row r="17" spans="1:9" x14ac:dyDescent="0.2">
      <c r="A17" s="54" t="s">
        <v>31</v>
      </c>
      <c r="B17" s="305" t="s">
        <v>208</v>
      </c>
      <c r="C17" s="305"/>
      <c r="D17" s="307">
        <v>0</v>
      </c>
      <c r="E17" s="307"/>
      <c r="F17" s="44"/>
      <c r="G17" s="44"/>
      <c r="H17" s="44"/>
      <c r="I17" s="44"/>
    </row>
    <row r="18" spans="1:9" x14ac:dyDescent="0.2">
      <c r="A18" s="54" t="s">
        <v>34</v>
      </c>
      <c r="B18" s="305" t="s">
        <v>209</v>
      </c>
      <c r="C18" s="305"/>
      <c r="D18" s="307">
        <v>0</v>
      </c>
      <c r="E18" s="307"/>
      <c r="F18" s="44"/>
      <c r="G18" s="44"/>
      <c r="H18" s="44"/>
      <c r="I18" s="44"/>
    </row>
    <row r="19" spans="1:9" x14ac:dyDescent="0.2">
      <c r="A19" s="54" t="s">
        <v>36</v>
      </c>
      <c r="B19" s="305" t="s">
        <v>210</v>
      </c>
      <c r="C19" s="305"/>
      <c r="D19" s="307">
        <v>0</v>
      </c>
      <c r="E19" s="307"/>
      <c r="F19" s="44"/>
      <c r="G19" s="44"/>
      <c r="H19" s="44"/>
      <c r="I19" s="44"/>
    </row>
    <row r="20" spans="1:9" x14ac:dyDescent="0.2">
      <c r="A20" s="54" t="s">
        <v>39</v>
      </c>
      <c r="B20" s="305" t="s">
        <v>40</v>
      </c>
      <c r="C20" s="305"/>
      <c r="D20" s="307">
        <v>0</v>
      </c>
      <c r="E20" s="307"/>
      <c r="F20" s="44"/>
      <c r="G20" s="44"/>
      <c r="H20" s="44"/>
      <c r="I20" s="44"/>
    </row>
    <row r="21" spans="1:9" x14ac:dyDescent="0.2">
      <c r="A21" s="54" t="s">
        <v>41</v>
      </c>
      <c r="B21" s="305" t="s">
        <v>286</v>
      </c>
      <c r="C21" s="305"/>
      <c r="D21" s="307">
        <v>220</v>
      </c>
      <c r="E21" s="307"/>
      <c r="F21" s="44"/>
      <c r="G21" s="44"/>
      <c r="H21" s="44"/>
      <c r="I21" s="44"/>
    </row>
    <row r="22" spans="1:9" x14ac:dyDescent="0.2">
      <c r="A22" s="44"/>
      <c r="B22" s="61" t="s">
        <v>211</v>
      </c>
      <c r="C22" s="62"/>
      <c r="D22" s="322">
        <f>SUM(D16:E21)</f>
        <v>1681.33</v>
      </c>
      <c r="E22" s="322"/>
      <c r="F22" s="44"/>
      <c r="G22" s="44"/>
      <c r="H22" s="44"/>
      <c r="I22" s="44"/>
    </row>
    <row r="23" spans="1:9" x14ac:dyDescent="0.2">
      <c r="A23" s="44"/>
      <c r="B23" s="302" t="s">
        <v>212</v>
      </c>
      <c r="C23" s="302"/>
      <c r="D23" s="302"/>
      <c r="E23" s="302"/>
      <c r="F23" s="44"/>
      <c r="G23" s="44"/>
      <c r="H23" s="44"/>
      <c r="I23" s="44"/>
    </row>
    <row r="24" spans="1:9" x14ac:dyDescent="0.2">
      <c r="A24" s="44"/>
      <c r="B24" s="302"/>
      <c r="C24" s="302"/>
      <c r="D24" s="302"/>
      <c r="E24" s="302"/>
      <c r="F24" s="44"/>
      <c r="G24" s="44"/>
      <c r="H24" s="44"/>
      <c r="I24" s="44"/>
    </row>
    <row r="25" spans="1:9" x14ac:dyDescent="0.2">
      <c r="A25" s="44"/>
      <c r="B25" s="302" t="s">
        <v>213</v>
      </c>
      <c r="C25" s="302"/>
      <c r="D25" s="302"/>
      <c r="E25" s="302"/>
      <c r="F25" s="44"/>
      <c r="G25" s="44"/>
      <c r="H25" s="44"/>
      <c r="I25" s="44"/>
    </row>
    <row r="26" spans="1:9" ht="15" customHeight="1" x14ac:dyDescent="0.2">
      <c r="A26" s="44"/>
      <c r="B26" s="57" t="s">
        <v>214</v>
      </c>
      <c r="C26" s="58"/>
      <c r="D26" s="304" t="s">
        <v>206</v>
      </c>
      <c r="E26" s="304"/>
      <c r="F26" s="44"/>
      <c r="G26" s="44"/>
      <c r="H26" s="44"/>
      <c r="I26" s="44"/>
    </row>
    <row r="27" spans="1:9" x14ac:dyDescent="0.2">
      <c r="A27" s="54" t="s">
        <v>28</v>
      </c>
      <c r="B27" s="63" t="s">
        <v>53</v>
      </c>
      <c r="C27" s="64">
        <v>8.3299999999999999E-2</v>
      </c>
      <c r="D27" s="306">
        <f>(D22*C27)</f>
        <v>140.054789</v>
      </c>
      <c r="E27" s="306"/>
      <c r="F27" s="44"/>
      <c r="G27" s="44"/>
      <c r="H27" s="44"/>
      <c r="I27" s="44"/>
    </row>
    <row r="28" spans="1:9" ht="14.25" customHeight="1" x14ac:dyDescent="0.2">
      <c r="A28" s="54" t="s">
        <v>31</v>
      </c>
      <c r="B28" s="65" t="s">
        <v>215</v>
      </c>
      <c r="C28" s="64">
        <v>0.121</v>
      </c>
      <c r="D28" s="306">
        <f>(D22*C28)</f>
        <v>203.44092999999998</v>
      </c>
      <c r="E28" s="306"/>
      <c r="F28" s="44"/>
      <c r="G28" s="44"/>
      <c r="H28" s="44"/>
      <c r="I28" s="44"/>
    </row>
    <row r="29" spans="1:9" x14ac:dyDescent="0.2">
      <c r="A29" s="44"/>
      <c r="B29" s="61" t="s">
        <v>211</v>
      </c>
      <c r="C29" s="66">
        <f>SUM(C27:C28)</f>
        <v>0.20429999999999998</v>
      </c>
      <c r="D29" s="308">
        <f>SUM(D27:E28)</f>
        <v>343.49571900000001</v>
      </c>
      <c r="E29" s="308"/>
      <c r="F29" s="44"/>
      <c r="G29" s="44"/>
      <c r="H29" s="44"/>
      <c r="I29" s="44"/>
    </row>
    <row r="30" spans="1:9" x14ac:dyDescent="0.2">
      <c r="A30" s="44"/>
      <c r="B30" s="309" t="s">
        <v>216</v>
      </c>
      <c r="C30" s="309"/>
      <c r="D30" s="309"/>
      <c r="E30" s="309"/>
      <c r="F30" s="44"/>
      <c r="G30" s="44"/>
      <c r="H30" s="44"/>
      <c r="I30" s="44"/>
    </row>
    <row r="31" spans="1:9" ht="15.75" customHeight="1" x14ac:dyDescent="0.2">
      <c r="A31" s="44"/>
      <c r="B31" s="57" t="s">
        <v>217</v>
      </c>
      <c r="C31" s="58"/>
      <c r="D31" s="304" t="s">
        <v>206</v>
      </c>
      <c r="E31" s="304"/>
      <c r="F31" s="44"/>
      <c r="G31" s="44"/>
      <c r="H31" s="44"/>
      <c r="I31" s="44"/>
    </row>
    <row r="32" spans="1:9" x14ac:dyDescent="0.2">
      <c r="A32" s="54" t="s">
        <v>28</v>
      </c>
      <c r="B32" s="67" t="s">
        <v>70</v>
      </c>
      <c r="C32" s="64">
        <v>0.2</v>
      </c>
      <c r="D32" s="306">
        <f t="shared" ref="D32:D39" si="0">(C32*($D$22+$D$29))</f>
        <v>404.96514380000002</v>
      </c>
      <c r="E32" s="306"/>
      <c r="F32" s="44"/>
      <c r="G32" s="44"/>
      <c r="H32" s="44"/>
      <c r="I32" s="44"/>
    </row>
    <row r="33" spans="1:9" x14ac:dyDescent="0.2">
      <c r="A33" s="54" t="s">
        <v>31</v>
      </c>
      <c r="B33" s="67" t="s">
        <v>218</v>
      </c>
      <c r="C33" s="64">
        <v>1.4999999999999999E-2</v>
      </c>
      <c r="D33" s="306">
        <f t="shared" si="0"/>
        <v>30.372385784999999</v>
      </c>
      <c r="E33" s="306"/>
      <c r="F33" s="44"/>
      <c r="G33" s="44"/>
      <c r="H33" s="44"/>
      <c r="I33" s="44"/>
    </row>
    <row r="34" spans="1:9" ht="12.75" customHeight="1" x14ac:dyDescent="0.2">
      <c r="A34" s="54" t="s">
        <v>34</v>
      </c>
      <c r="B34" s="67" t="s">
        <v>219</v>
      </c>
      <c r="C34" s="64">
        <v>0.01</v>
      </c>
      <c r="D34" s="306">
        <f t="shared" si="0"/>
        <v>20.24825719</v>
      </c>
      <c r="E34" s="306"/>
    </row>
    <row r="35" spans="1:9" x14ac:dyDescent="0.2">
      <c r="A35" s="54" t="s">
        <v>36</v>
      </c>
      <c r="B35" s="67" t="s">
        <v>77</v>
      </c>
      <c r="C35" s="64">
        <v>2E-3</v>
      </c>
      <c r="D35" s="306">
        <f t="shared" si="0"/>
        <v>4.0496514379999997</v>
      </c>
      <c r="E35" s="306"/>
    </row>
    <row r="36" spans="1:9" ht="12.75" customHeight="1" x14ac:dyDescent="0.2">
      <c r="A36" s="54" t="s">
        <v>39</v>
      </c>
      <c r="B36" s="67" t="s">
        <v>71</v>
      </c>
      <c r="C36" s="64">
        <v>2.5000000000000001E-2</v>
      </c>
      <c r="D36" s="306">
        <f t="shared" si="0"/>
        <v>50.620642975000003</v>
      </c>
      <c r="E36" s="306"/>
      <c r="F36" s="44"/>
      <c r="G36" s="44"/>
      <c r="H36" s="44"/>
      <c r="I36" s="44"/>
    </row>
    <row r="37" spans="1:9" x14ac:dyDescent="0.2">
      <c r="A37" s="54" t="s">
        <v>41</v>
      </c>
      <c r="B37" s="67" t="s">
        <v>79</v>
      </c>
      <c r="C37" s="64">
        <v>0.08</v>
      </c>
      <c r="D37" s="306">
        <f t="shared" si="0"/>
        <v>161.98605752</v>
      </c>
      <c r="E37" s="306"/>
      <c r="F37" s="44"/>
      <c r="G37" s="44"/>
      <c r="H37" s="44"/>
      <c r="I37" s="44"/>
    </row>
    <row r="38" spans="1:9" ht="14.25" customHeight="1" x14ac:dyDescent="0.2">
      <c r="A38" s="54" t="s">
        <v>76</v>
      </c>
      <c r="B38" s="99" t="s">
        <v>220</v>
      </c>
      <c r="C38" s="100">
        <v>0.03</v>
      </c>
      <c r="D38" s="323">
        <f t="shared" si="0"/>
        <v>60.744771569999997</v>
      </c>
      <c r="E38" s="323"/>
      <c r="F38" s="44"/>
      <c r="G38" s="44"/>
      <c r="H38" s="44"/>
      <c r="I38" s="44"/>
    </row>
    <row r="39" spans="1:9" x14ac:dyDescent="0.2">
      <c r="A39" s="54" t="s">
        <v>78</v>
      </c>
      <c r="B39" s="67" t="s">
        <v>75</v>
      </c>
      <c r="C39" s="64">
        <v>6.0000000000000001E-3</v>
      </c>
      <c r="D39" s="306">
        <f t="shared" si="0"/>
        <v>12.148954313999999</v>
      </c>
      <c r="E39" s="306"/>
      <c r="F39" s="44"/>
      <c r="G39" s="44"/>
      <c r="H39" s="44"/>
      <c r="I39" s="44"/>
    </row>
    <row r="40" spans="1:9" x14ac:dyDescent="0.2">
      <c r="A40" s="44"/>
      <c r="B40" s="61" t="s">
        <v>211</v>
      </c>
      <c r="C40" s="66">
        <f>SUM(C32:C39)</f>
        <v>0.3680000000000001</v>
      </c>
      <c r="D40" s="308">
        <f>SUM(D32:E39)</f>
        <v>745.13586459200008</v>
      </c>
      <c r="E40" s="308"/>
    </row>
    <row r="41" spans="1:9" x14ac:dyDescent="0.2">
      <c r="A41" s="44"/>
      <c r="B41" s="302" t="s">
        <v>221</v>
      </c>
      <c r="C41" s="302"/>
      <c r="D41" s="302"/>
      <c r="E41" s="302"/>
      <c r="F41" s="44"/>
      <c r="G41" s="44"/>
      <c r="H41" s="44"/>
      <c r="I41" s="44"/>
    </row>
    <row r="42" spans="1:9" ht="15.75" customHeight="1" x14ac:dyDescent="0.2">
      <c r="A42" s="44"/>
      <c r="B42" s="57" t="s">
        <v>222</v>
      </c>
      <c r="C42" s="58"/>
      <c r="D42" s="304" t="s">
        <v>206</v>
      </c>
      <c r="E42" s="304"/>
      <c r="F42" s="44"/>
      <c r="G42" s="44"/>
      <c r="H42" s="44"/>
      <c r="I42" s="44"/>
    </row>
    <row r="43" spans="1:9" x14ac:dyDescent="0.2">
      <c r="A43" s="54" t="s">
        <v>28</v>
      </c>
      <c r="B43" s="63" t="s">
        <v>281</v>
      </c>
      <c r="C43" s="68"/>
      <c r="D43" s="307">
        <v>0</v>
      </c>
      <c r="E43" s="307"/>
      <c r="F43" s="44"/>
      <c r="G43" s="44" t="s">
        <v>282</v>
      </c>
      <c r="H43" s="44"/>
      <c r="I43" s="44"/>
    </row>
    <row r="44" spans="1:9" x14ac:dyDescent="0.2">
      <c r="A44" s="54" t="s">
        <v>31</v>
      </c>
      <c r="B44" s="63" t="s">
        <v>88</v>
      </c>
      <c r="C44" s="68"/>
      <c r="D44" s="307">
        <v>460</v>
      </c>
      <c r="E44" s="307"/>
      <c r="F44" s="48"/>
    </row>
    <row r="45" spans="1:9" ht="11.25" customHeight="1" x14ac:dyDescent="0.2">
      <c r="A45" s="54" t="s">
        <v>34</v>
      </c>
      <c r="B45" s="69" t="s">
        <v>225</v>
      </c>
      <c r="C45" s="68"/>
      <c r="D45" s="307">
        <v>0</v>
      </c>
      <c r="E45" s="307"/>
      <c r="F45" s="48"/>
      <c r="G45" s="44"/>
      <c r="H45" s="44"/>
      <c r="I45" s="44"/>
    </row>
    <row r="46" spans="1:9" ht="10.5" customHeight="1" x14ac:dyDescent="0.2">
      <c r="A46" s="54" t="s">
        <v>36</v>
      </c>
      <c r="B46" s="102" t="s">
        <v>92</v>
      </c>
      <c r="C46" s="68"/>
      <c r="D46" s="324">
        <v>20</v>
      </c>
      <c r="E46" s="324"/>
      <c r="F46" s="48"/>
      <c r="G46" s="310" t="s">
        <v>226</v>
      </c>
      <c r="H46" s="310"/>
      <c r="I46" s="310"/>
    </row>
    <row r="47" spans="1:9" ht="10.5" customHeight="1" x14ac:dyDescent="0.2">
      <c r="A47" s="54" t="s">
        <v>39</v>
      </c>
      <c r="B47" s="102" t="s">
        <v>227</v>
      </c>
      <c r="C47" s="68"/>
      <c r="D47" s="324">
        <v>5</v>
      </c>
      <c r="E47" s="324"/>
      <c r="F47" s="48"/>
      <c r="G47" s="41" t="s">
        <v>223</v>
      </c>
      <c r="H47" s="41" t="s">
        <v>278</v>
      </c>
      <c r="I47" s="41" t="s">
        <v>224</v>
      </c>
    </row>
    <row r="48" spans="1:9" ht="11.25" customHeight="1" x14ac:dyDescent="0.2">
      <c r="A48" s="54" t="s">
        <v>41</v>
      </c>
      <c r="B48" s="102" t="s">
        <v>228</v>
      </c>
      <c r="C48" s="70"/>
      <c r="D48" s="324">
        <v>40</v>
      </c>
      <c r="E48" s="324"/>
      <c r="F48" s="48"/>
      <c r="G48" s="41">
        <v>22</v>
      </c>
      <c r="H48" s="42">
        <v>20.91</v>
      </c>
      <c r="I48" s="98">
        <v>460</v>
      </c>
    </row>
    <row r="49" spans="1:9" x14ac:dyDescent="0.2">
      <c r="A49" s="44"/>
      <c r="B49" s="61" t="s">
        <v>229</v>
      </c>
      <c r="C49" s="71"/>
      <c r="D49" s="308">
        <f>SUM(D43:E48)</f>
        <v>525</v>
      </c>
      <c r="E49" s="308"/>
      <c r="F49" s="48"/>
      <c r="G49" s="44"/>
      <c r="H49" s="44"/>
      <c r="I49" s="44"/>
    </row>
    <row r="50" spans="1:9" x14ac:dyDescent="0.2">
      <c r="A50" s="44"/>
      <c r="B50" s="302" t="s">
        <v>98</v>
      </c>
      <c r="C50" s="302"/>
      <c r="D50" s="302"/>
      <c r="E50" s="302"/>
      <c r="F50" s="48"/>
      <c r="G50" s="44"/>
      <c r="H50" s="44"/>
      <c r="I50" s="44"/>
    </row>
    <row r="51" spans="1:9" ht="15.75" customHeight="1" x14ac:dyDescent="0.2">
      <c r="A51" s="44"/>
      <c r="B51" s="55" t="s">
        <v>230</v>
      </c>
      <c r="C51" s="72"/>
      <c r="D51" s="304" t="s">
        <v>206</v>
      </c>
      <c r="E51" s="304"/>
      <c r="F51" s="48"/>
      <c r="G51" s="44"/>
      <c r="H51" s="44"/>
      <c r="I51" s="44"/>
    </row>
    <row r="52" spans="1:9" x14ac:dyDescent="0.2">
      <c r="A52" s="54" t="s">
        <v>51</v>
      </c>
      <c r="B52" s="311" t="s">
        <v>231</v>
      </c>
      <c r="C52" s="311"/>
      <c r="D52" s="307">
        <f>+D29</f>
        <v>343.49571900000001</v>
      </c>
      <c r="E52" s="307"/>
      <c r="F52" s="44"/>
      <c r="G52" s="44"/>
      <c r="H52" s="44"/>
      <c r="I52" s="44"/>
    </row>
    <row r="53" spans="1:9" x14ac:dyDescent="0.2">
      <c r="A53" s="54" t="s">
        <v>67</v>
      </c>
      <c r="B53" s="311" t="s">
        <v>68</v>
      </c>
      <c r="C53" s="311"/>
      <c r="D53" s="307">
        <f>+D40</f>
        <v>745.13586459200008</v>
      </c>
      <c r="E53" s="307"/>
      <c r="F53" s="44"/>
      <c r="G53" s="44"/>
      <c r="H53" s="44"/>
      <c r="I53" s="44"/>
    </row>
    <row r="54" spans="1:9" x14ac:dyDescent="0.2">
      <c r="A54" s="54" t="s">
        <v>85</v>
      </c>
      <c r="B54" s="311" t="s">
        <v>86</v>
      </c>
      <c r="C54" s="311"/>
      <c r="D54" s="307">
        <f>+D49</f>
        <v>525</v>
      </c>
      <c r="E54" s="307"/>
      <c r="F54" s="44"/>
      <c r="G54" s="44"/>
      <c r="H54" s="44"/>
      <c r="I54" s="44"/>
    </row>
    <row r="55" spans="1:9" x14ac:dyDescent="0.2">
      <c r="A55" s="44"/>
      <c r="B55" s="312" t="s">
        <v>211</v>
      </c>
      <c r="C55" s="312"/>
      <c r="D55" s="308">
        <f>SUM(D52:E54)</f>
        <v>1613.631583592</v>
      </c>
      <c r="E55" s="308"/>
      <c r="F55" s="44"/>
      <c r="G55" s="44"/>
      <c r="H55" s="44"/>
      <c r="I55" s="44"/>
    </row>
    <row r="56" spans="1:9" x14ac:dyDescent="0.2">
      <c r="A56" s="44"/>
      <c r="B56" s="313" t="s">
        <v>232</v>
      </c>
      <c r="C56" s="313"/>
      <c r="D56" s="313"/>
      <c r="E56" s="313"/>
      <c r="F56" s="44"/>
      <c r="G56" s="44"/>
      <c r="H56" s="44"/>
      <c r="I56" s="44"/>
    </row>
    <row r="57" spans="1:9" x14ac:dyDescent="0.2">
      <c r="B57" s="314"/>
      <c r="C57" s="314"/>
      <c r="D57" s="314"/>
      <c r="E57" s="314"/>
      <c r="F57" s="44"/>
      <c r="G57" s="44"/>
      <c r="H57" s="44"/>
      <c r="I57" s="44"/>
    </row>
    <row r="58" spans="1:9" ht="17.25" customHeight="1" x14ac:dyDescent="0.2">
      <c r="A58" s="44"/>
      <c r="B58" s="55" t="s">
        <v>233</v>
      </c>
      <c r="C58" s="72"/>
      <c r="D58" s="304" t="s">
        <v>206</v>
      </c>
      <c r="E58" s="304"/>
    </row>
    <row r="59" spans="1:9" ht="15.75" customHeight="1" x14ac:dyDescent="0.2">
      <c r="A59" s="54" t="s">
        <v>28</v>
      </c>
      <c r="B59" s="73" t="s">
        <v>104</v>
      </c>
      <c r="C59" s="74">
        <v>4.1999999999999997E-3</v>
      </c>
      <c r="D59" s="306">
        <f t="shared" ref="D59:D64" si="1">C59*$D$22</f>
        <v>7.0615859999999993</v>
      </c>
      <c r="E59" s="306"/>
      <c r="F59" s="44"/>
      <c r="G59" s="44"/>
      <c r="H59" s="44"/>
      <c r="I59" s="44"/>
    </row>
    <row r="60" spans="1:9" ht="15.75" customHeight="1" x14ac:dyDescent="0.2">
      <c r="A60" s="54" t="s">
        <v>31</v>
      </c>
      <c r="B60" s="73" t="s">
        <v>234</v>
      </c>
      <c r="C60" s="74">
        <f>C59*C37</f>
        <v>3.3599999999999998E-4</v>
      </c>
      <c r="D60" s="306">
        <f t="shared" si="1"/>
        <v>0.56492687999999991</v>
      </c>
      <c r="E60" s="306"/>
      <c r="F60" s="44"/>
      <c r="G60" s="44"/>
      <c r="H60" s="44"/>
      <c r="I60" s="44"/>
    </row>
    <row r="61" spans="1:9" ht="15" customHeight="1" x14ac:dyDescent="0.2">
      <c r="A61" s="54" t="s">
        <v>34</v>
      </c>
      <c r="B61" s="73" t="s">
        <v>235</v>
      </c>
      <c r="C61" s="75">
        <v>1.6000000000000001E-3</v>
      </c>
      <c r="D61" s="306">
        <f t="shared" si="1"/>
        <v>2.6901280000000001</v>
      </c>
      <c r="E61" s="306"/>
      <c r="F61" s="44"/>
      <c r="G61" s="44"/>
      <c r="H61" s="44"/>
      <c r="I61" s="44"/>
    </row>
    <row r="62" spans="1:9" ht="14.25" customHeight="1" x14ac:dyDescent="0.2">
      <c r="A62" s="54" t="s">
        <v>36</v>
      </c>
      <c r="B62" s="73" t="s">
        <v>236</v>
      </c>
      <c r="C62" s="75">
        <v>1.8499999999999999E-2</v>
      </c>
      <c r="D62" s="306">
        <f t="shared" si="1"/>
        <v>31.104604999999996</v>
      </c>
      <c r="E62" s="306"/>
      <c r="F62" s="44"/>
      <c r="G62" s="44"/>
      <c r="H62" s="51"/>
      <c r="I62" s="44"/>
    </row>
    <row r="63" spans="1:9" ht="16.5" customHeight="1" x14ac:dyDescent="0.2">
      <c r="A63" s="54" t="s">
        <v>39</v>
      </c>
      <c r="B63" s="73" t="s">
        <v>237</v>
      </c>
      <c r="C63" s="74">
        <v>6.8999999999999999E-3</v>
      </c>
      <c r="D63" s="306">
        <f t="shared" si="1"/>
        <v>11.601177</v>
      </c>
      <c r="E63" s="306"/>
      <c r="F63" s="44"/>
      <c r="G63" s="44"/>
      <c r="H63" s="44"/>
      <c r="I63" s="44"/>
    </row>
    <row r="64" spans="1:9" ht="15.75" customHeight="1" x14ac:dyDescent="0.2">
      <c r="A64" s="54" t="s">
        <v>41</v>
      </c>
      <c r="B64" s="73" t="s">
        <v>108</v>
      </c>
      <c r="C64" s="75">
        <v>3.04E-2</v>
      </c>
      <c r="D64" s="306">
        <f t="shared" si="1"/>
        <v>51.112431999999998</v>
      </c>
      <c r="E64" s="306"/>
      <c r="F64" s="44"/>
      <c r="G64" s="44"/>
      <c r="H64" s="44"/>
      <c r="I64" s="44"/>
    </row>
    <row r="65" spans="1:9" x14ac:dyDescent="0.2">
      <c r="A65" s="44"/>
      <c r="B65" s="76" t="s">
        <v>229</v>
      </c>
      <c r="C65" s="77">
        <f>TRUNC(SUM(C59:C64),8)</f>
        <v>6.1935999999999998E-2</v>
      </c>
      <c r="D65" s="308">
        <f>SUM(D59:E64)</f>
        <v>104.13485487999999</v>
      </c>
      <c r="E65" s="308"/>
      <c r="F65" s="44"/>
      <c r="G65" s="44"/>
      <c r="H65" s="44"/>
      <c r="I65" s="44"/>
    </row>
    <row r="66" spans="1:9" x14ac:dyDescent="0.2">
      <c r="A66" s="44"/>
      <c r="B66" s="313" t="s">
        <v>238</v>
      </c>
      <c r="C66" s="313"/>
      <c r="D66" s="313"/>
      <c r="E66" s="313"/>
      <c r="F66" s="44"/>
      <c r="G66" s="44"/>
      <c r="H66" s="44"/>
      <c r="I66" s="44"/>
    </row>
    <row r="67" spans="1:9" x14ac:dyDescent="0.2">
      <c r="A67" s="44"/>
      <c r="B67" s="313"/>
      <c r="C67" s="313"/>
      <c r="D67" s="313"/>
      <c r="E67" s="313"/>
      <c r="F67" s="44"/>
      <c r="G67" s="44"/>
      <c r="H67" s="44"/>
      <c r="I67" s="44"/>
    </row>
    <row r="68" spans="1:9" x14ac:dyDescent="0.2">
      <c r="A68" s="44"/>
      <c r="B68" s="313" t="s">
        <v>121</v>
      </c>
      <c r="C68" s="313"/>
      <c r="D68" s="313"/>
      <c r="E68" s="313"/>
      <c r="F68" s="44"/>
      <c r="G68" s="44"/>
      <c r="H68" s="44"/>
      <c r="I68" s="44"/>
    </row>
    <row r="69" spans="1:9" ht="16.5" customHeight="1" x14ac:dyDescent="0.2">
      <c r="A69" s="44"/>
      <c r="B69" s="55" t="s">
        <v>239</v>
      </c>
      <c r="C69" s="72"/>
      <c r="D69" s="304" t="s">
        <v>206</v>
      </c>
      <c r="E69" s="304"/>
      <c r="F69" s="48"/>
      <c r="G69" s="44"/>
      <c r="H69" s="48"/>
      <c r="I69" s="44"/>
    </row>
    <row r="70" spans="1:9" ht="12.75" customHeight="1" x14ac:dyDescent="0.2">
      <c r="A70" s="54" t="s">
        <v>28</v>
      </c>
      <c r="B70" s="78" t="s">
        <v>125</v>
      </c>
      <c r="C70" s="94">
        <v>1.6199999999999999E-2</v>
      </c>
      <c r="D70" s="306">
        <f>C70*(D65+D55+D22)</f>
        <v>55.065362303246395</v>
      </c>
      <c r="E70" s="306"/>
      <c r="F70" s="44"/>
      <c r="G70" s="44"/>
      <c r="H70" s="48"/>
      <c r="I70" s="44"/>
    </row>
    <row r="71" spans="1:9" ht="13.5" customHeight="1" x14ac:dyDescent="0.2">
      <c r="A71" s="54" t="s">
        <v>31</v>
      </c>
      <c r="B71" s="78" t="s">
        <v>126</v>
      </c>
      <c r="C71" s="74">
        <v>5.5999999999999999E-3</v>
      </c>
      <c r="D71" s="306">
        <f>C71*(D65+D55+D22)</f>
        <v>19.034940055443201</v>
      </c>
      <c r="E71" s="306"/>
      <c r="F71" s="44"/>
      <c r="G71" s="44"/>
      <c r="H71" s="48"/>
      <c r="I71" s="44"/>
    </row>
    <row r="72" spans="1:9" ht="12" customHeight="1" x14ac:dyDescent="0.2">
      <c r="A72" s="54" t="s">
        <v>34</v>
      </c>
      <c r="B72" s="78" t="s">
        <v>127</v>
      </c>
      <c r="C72" s="74">
        <v>2.9999999999999997E-4</v>
      </c>
      <c r="D72" s="306">
        <f>C72*(D65+D55+D22)</f>
        <v>1.0197289315415998</v>
      </c>
      <c r="E72" s="306"/>
      <c r="F72" s="44"/>
      <c r="G72" s="44"/>
      <c r="H72" s="48"/>
      <c r="I72" s="44"/>
    </row>
    <row r="73" spans="1:9" ht="14.25" customHeight="1" x14ac:dyDescent="0.2">
      <c r="A73" s="54" t="s">
        <v>36</v>
      </c>
      <c r="B73" s="78" t="s">
        <v>128</v>
      </c>
      <c r="C73" s="74">
        <v>3.3E-3</v>
      </c>
      <c r="D73" s="306">
        <f>C73*(D65+D55+D22)</f>
        <v>11.217018246957601</v>
      </c>
      <c r="E73" s="306"/>
      <c r="F73" s="44"/>
      <c r="G73" s="44"/>
      <c r="H73" s="48"/>
      <c r="I73" s="44"/>
    </row>
    <row r="74" spans="1:9" ht="13.5" customHeight="1" x14ac:dyDescent="0.2">
      <c r="A74" s="54" t="s">
        <v>39</v>
      </c>
      <c r="B74" s="78" t="s">
        <v>129</v>
      </c>
      <c r="C74" s="74">
        <v>1.1000000000000001E-3</v>
      </c>
      <c r="D74" s="306">
        <f>C74*(D65+D55+D22)</f>
        <v>3.7390060823192002</v>
      </c>
      <c r="E74" s="306"/>
      <c r="F74" s="44"/>
      <c r="G74" s="44"/>
      <c r="H74" s="48"/>
      <c r="I74" s="44"/>
    </row>
    <row r="75" spans="1:9" ht="12" customHeight="1" x14ac:dyDescent="0.2">
      <c r="A75" s="54" t="s">
        <v>41</v>
      </c>
      <c r="B75" s="78" t="s">
        <v>240</v>
      </c>
      <c r="C75" s="74">
        <v>0</v>
      </c>
      <c r="D75" s="306">
        <f>C75*$D$22</f>
        <v>0</v>
      </c>
      <c r="E75" s="306"/>
      <c r="F75" s="44"/>
      <c r="G75" s="44"/>
      <c r="H75" s="48"/>
      <c r="I75" s="44"/>
    </row>
    <row r="76" spans="1:9" x14ac:dyDescent="0.2">
      <c r="A76" s="44"/>
      <c r="B76" s="76" t="s">
        <v>211</v>
      </c>
      <c r="C76" s="277">
        <f>SUM(C70:C75)</f>
        <v>2.6500000000000003E-2</v>
      </c>
      <c r="D76" s="308">
        <f>SUM(D70:E75)</f>
        <v>90.076055619507997</v>
      </c>
      <c r="E76" s="308"/>
      <c r="F76" s="44"/>
      <c r="G76" s="44"/>
      <c r="H76" s="48"/>
      <c r="I76" s="44"/>
    </row>
    <row r="77" spans="1:9" x14ac:dyDescent="0.2">
      <c r="A77" s="44"/>
      <c r="B77" s="314"/>
      <c r="C77" s="314"/>
      <c r="D77" s="314"/>
      <c r="E77" s="314"/>
      <c r="F77" s="44"/>
      <c r="G77" s="44"/>
      <c r="H77" s="48"/>
      <c r="I77" s="44"/>
    </row>
    <row r="78" spans="1:9" ht="15" customHeight="1" x14ac:dyDescent="0.2">
      <c r="A78" s="44"/>
      <c r="B78" s="55" t="s">
        <v>241</v>
      </c>
      <c r="C78" s="80"/>
      <c r="D78" s="304" t="s">
        <v>206</v>
      </c>
      <c r="E78" s="304"/>
      <c r="F78" s="44"/>
      <c r="G78" s="44"/>
      <c r="H78" s="44"/>
      <c r="I78" s="44"/>
    </row>
    <row r="79" spans="1:9" ht="15.75" customHeight="1" x14ac:dyDescent="0.2">
      <c r="A79" s="54" t="s">
        <v>28</v>
      </c>
      <c r="B79" s="81" t="s">
        <v>143</v>
      </c>
      <c r="C79" s="74">
        <v>0</v>
      </c>
      <c r="D79" s="315">
        <f>TRUNC(C79*$D$22,2)</f>
        <v>0</v>
      </c>
      <c r="E79" s="315"/>
      <c r="F79" s="44"/>
      <c r="G79" s="44"/>
      <c r="H79" s="44"/>
      <c r="I79" s="44"/>
    </row>
    <row r="80" spans="1:9" x14ac:dyDescent="0.2">
      <c r="A80" s="44"/>
      <c r="B80" s="76" t="s">
        <v>211</v>
      </c>
      <c r="C80" s="82">
        <f>SUM(C79:C79)</f>
        <v>0</v>
      </c>
      <c r="D80" s="308">
        <f>SUM(D79:E79)</f>
        <v>0</v>
      </c>
      <c r="E80" s="308"/>
      <c r="F80" s="44"/>
      <c r="G80" s="44"/>
      <c r="H80" s="44"/>
      <c r="I80" s="44"/>
    </row>
    <row r="81" spans="1:9" x14ac:dyDescent="0.2">
      <c r="A81" s="44"/>
      <c r="B81" s="313" t="s">
        <v>144</v>
      </c>
      <c r="C81" s="313"/>
      <c r="D81" s="313"/>
      <c r="E81" s="313"/>
      <c r="F81" s="44"/>
      <c r="G81" s="44"/>
      <c r="H81" s="44"/>
      <c r="I81" s="44"/>
    </row>
    <row r="82" spans="1:9" ht="15.75" customHeight="1" x14ac:dyDescent="0.2">
      <c r="A82" s="44"/>
      <c r="B82" s="55" t="s">
        <v>242</v>
      </c>
      <c r="C82" s="72"/>
      <c r="D82" s="304" t="s">
        <v>206</v>
      </c>
      <c r="E82" s="304"/>
      <c r="F82" s="44"/>
      <c r="G82" s="44"/>
      <c r="H82" s="44"/>
      <c r="I82" s="44"/>
    </row>
    <row r="83" spans="1:9" x14ac:dyDescent="0.2">
      <c r="A83" s="54" t="s">
        <v>122</v>
      </c>
      <c r="B83" s="316" t="s">
        <v>123</v>
      </c>
      <c r="C83" s="316"/>
      <c r="D83" s="306">
        <f>D76</f>
        <v>90.076055619507997</v>
      </c>
      <c r="E83" s="306"/>
      <c r="F83" s="44"/>
      <c r="G83" s="44"/>
      <c r="H83" s="44"/>
      <c r="I83" s="44"/>
    </row>
    <row r="84" spans="1:9" x14ac:dyDescent="0.2">
      <c r="A84" s="54" t="s">
        <v>141</v>
      </c>
      <c r="B84" s="316" t="s">
        <v>147</v>
      </c>
      <c r="C84" s="316"/>
      <c r="D84" s="306">
        <f>D80</f>
        <v>0</v>
      </c>
      <c r="E84" s="306"/>
      <c r="F84" s="44"/>
      <c r="G84" s="44"/>
      <c r="H84" s="44"/>
      <c r="I84" s="44"/>
    </row>
    <row r="85" spans="1:9" x14ac:dyDescent="0.2">
      <c r="A85" s="44"/>
      <c r="B85" s="312" t="s">
        <v>229</v>
      </c>
      <c r="C85" s="312"/>
      <c r="D85" s="308">
        <f>SUM(D83:E84)</f>
        <v>90.076055619507997</v>
      </c>
      <c r="E85" s="308"/>
      <c r="F85" s="44"/>
      <c r="G85" s="44"/>
      <c r="H85" s="44"/>
      <c r="I85" s="44"/>
    </row>
    <row r="86" spans="1:9" x14ac:dyDescent="0.2">
      <c r="A86" s="44"/>
      <c r="B86" s="313" t="s">
        <v>243</v>
      </c>
      <c r="C86" s="313"/>
      <c r="D86" s="313"/>
      <c r="E86" s="313"/>
      <c r="F86" s="44"/>
      <c r="G86" s="44"/>
      <c r="H86" s="44"/>
      <c r="I86" s="44"/>
    </row>
    <row r="87" spans="1:9" x14ac:dyDescent="0.2">
      <c r="A87" s="44"/>
      <c r="B87" s="313"/>
      <c r="C87" s="313"/>
      <c r="D87" s="313"/>
      <c r="E87" s="313"/>
      <c r="F87" s="44"/>
      <c r="G87" s="44"/>
      <c r="H87" s="44"/>
      <c r="I87" s="44"/>
    </row>
    <row r="88" spans="1:9" ht="13.5" customHeight="1" x14ac:dyDescent="0.2">
      <c r="A88" s="44"/>
      <c r="B88" s="57" t="s">
        <v>244</v>
      </c>
      <c r="C88" s="58"/>
      <c r="D88" s="304" t="s">
        <v>206</v>
      </c>
      <c r="E88" s="304"/>
      <c r="F88" s="44"/>
      <c r="G88" s="44"/>
      <c r="H88" s="44"/>
      <c r="I88" s="44"/>
    </row>
    <row r="89" spans="1:9" x14ac:dyDescent="0.2">
      <c r="A89" s="54" t="s">
        <v>28</v>
      </c>
      <c r="B89" s="63" t="s">
        <v>151</v>
      </c>
      <c r="C89" s="68"/>
      <c r="D89" s="307">
        <f>Uniformes!F23</f>
        <v>41.794166655952388</v>
      </c>
      <c r="E89" s="307"/>
      <c r="F89" s="44"/>
      <c r="G89" s="44"/>
      <c r="H89" s="44"/>
      <c r="I89" s="44"/>
    </row>
    <row r="90" spans="1:9" x14ac:dyDescent="0.2">
      <c r="A90" s="54" t="s">
        <v>31</v>
      </c>
      <c r="B90" s="63" t="s">
        <v>152</v>
      </c>
      <c r="C90" s="68"/>
      <c r="D90" s="307">
        <v>0</v>
      </c>
      <c r="E90" s="307"/>
      <c r="F90" s="44"/>
      <c r="G90" s="44"/>
      <c r="H90" s="44"/>
      <c r="I90" s="44"/>
    </row>
    <row r="91" spans="1:9" x14ac:dyDescent="0.2">
      <c r="A91" s="54" t="s">
        <v>34</v>
      </c>
      <c r="B91" s="63" t="s">
        <v>153</v>
      </c>
      <c r="C91" s="68"/>
      <c r="D91" s="307">
        <f>'[1]Materiais e Equipamentos'!F8</f>
        <v>0</v>
      </c>
      <c r="E91" s="307"/>
      <c r="F91" s="44"/>
      <c r="G91" s="44"/>
      <c r="H91" s="44"/>
      <c r="I91" s="44"/>
    </row>
    <row r="92" spans="1:9" ht="12.75" customHeight="1" x14ac:dyDescent="0.2">
      <c r="A92" s="54" t="s">
        <v>36</v>
      </c>
      <c r="B92" s="69" t="s">
        <v>287</v>
      </c>
      <c r="C92" s="68"/>
      <c r="D92" s="307">
        <f>'Relógio Ponto'!F10</f>
        <v>0.11701580882352942</v>
      </c>
      <c r="E92" s="307"/>
      <c r="F92" s="44"/>
      <c r="G92" s="44"/>
      <c r="H92" s="44"/>
      <c r="I92" s="44"/>
    </row>
    <row r="93" spans="1:9" x14ac:dyDescent="0.2">
      <c r="A93" s="44"/>
      <c r="B93" s="61" t="s">
        <v>245</v>
      </c>
      <c r="C93" s="71"/>
      <c r="D93" s="308">
        <f>SUM(D89:E92)</f>
        <v>41.911182464775919</v>
      </c>
      <c r="E93" s="308"/>
      <c r="F93" s="44"/>
      <c r="G93" s="44"/>
      <c r="H93" s="44"/>
      <c r="I93" s="44"/>
    </row>
    <row r="94" spans="1:9" x14ac:dyDescent="0.2">
      <c r="A94" s="44"/>
      <c r="B94" s="313" t="s">
        <v>246</v>
      </c>
      <c r="C94" s="313"/>
      <c r="D94" s="313"/>
      <c r="E94" s="313"/>
      <c r="F94" s="44"/>
      <c r="G94" s="44"/>
      <c r="H94" s="44"/>
      <c r="I94" s="44"/>
    </row>
    <row r="95" spans="1:9" x14ac:dyDescent="0.2">
      <c r="A95" s="44"/>
      <c r="B95" s="313"/>
      <c r="C95" s="313"/>
      <c r="D95" s="313"/>
      <c r="E95" s="313"/>
      <c r="F95" s="44"/>
      <c r="G95" s="44"/>
      <c r="H95" s="44"/>
      <c r="I95" s="44"/>
    </row>
    <row r="96" spans="1:9" ht="13.5" customHeight="1" x14ac:dyDescent="0.2">
      <c r="A96" s="44"/>
      <c r="B96" s="83" t="s">
        <v>247</v>
      </c>
      <c r="C96" s="57"/>
      <c r="D96" s="304" t="s">
        <v>206</v>
      </c>
      <c r="E96" s="304"/>
      <c r="F96" s="44"/>
      <c r="G96" s="44"/>
      <c r="H96" s="44"/>
      <c r="I96" s="44"/>
    </row>
    <row r="97" spans="1:9" ht="13.5" customHeight="1" x14ac:dyDescent="0.2">
      <c r="A97" s="54" t="s">
        <v>28</v>
      </c>
      <c r="B97" s="99" t="s">
        <v>248</v>
      </c>
      <c r="C97" s="101">
        <v>0.02</v>
      </c>
      <c r="D97" s="323">
        <f>C97*D112</f>
        <v>70.62167353112568</v>
      </c>
      <c r="E97" s="323"/>
      <c r="F97" s="44"/>
      <c r="G97" s="44"/>
      <c r="H97" s="44"/>
      <c r="I97" s="44"/>
    </row>
    <row r="98" spans="1:9" x14ac:dyDescent="0.2">
      <c r="A98" s="54" t="s">
        <v>31</v>
      </c>
      <c r="B98" s="99" t="s">
        <v>249</v>
      </c>
      <c r="C98" s="101">
        <v>0.02</v>
      </c>
      <c r="D98" s="323">
        <f>(D97+D112)*C98</f>
        <v>72.034107001748197</v>
      </c>
      <c r="E98" s="323"/>
      <c r="F98" s="44"/>
      <c r="G98" s="44"/>
      <c r="H98" s="44"/>
      <c r="I98" s="44"/>
    </row>
    <row r="99" spans="1:9" x14ac:dyDescent="0.2">
      <c r="A99" s="85" t="s">
        <v>34</v>
      </c>
      <c r="B99" s="86" t="s">
        <v>250</v>
      </c>
      <c r="C99" s="87"/>
      <c r="D99" s="317"/>
      <c r="E99" s="317"/>
      <c r="F99" s="44"/>
      <c r="G99" s="44"/>
      <c r="H99" s="44"/>
      <c r="I99" s="44"/>
    </row>
    <row r="100" spans="1:9" x14ac:dyDescent="0.2">
      <c r="A100" s="45"/>
      <c r="B100" s="88" t="s">
        <v>251</v>
      </c>
      <c r="C100" s="89">
        <v>0.05</v>
      </c>
      <c r="D100" s="306">
        <f>($D97+$D98+$D112)/(1-$C$103)*C100</f>
        <v>201.08043005414112</v>
      </c>
      <c r="E100" s="306"/>
      <c r="F100" s="45"/>
      <c r="G100" s="45"/>
      <c r="H100" s="45"/>
      <c r="I100" s="45"/>
    </row>
    <row r="101" spans="1:9" ht="13.5" customHeight="1" x14ac:dyDescent="0.2">
      <c r="A101" s="44"/>
      <c r="B101" s="90" t="s">
        <v>252</v>
      </c>
      <c r="C101" s="84">
        <v>0.03</v>
      </c>
      <c r="D101" s="306">
        <f>($D97+$D98+$D112)/(1-$C$103)*C101</f>
        <v>120.64825803248466</v>
      </c>
      <c r="E101" s="306"/>
      <c r="F101" s="44"/>
      <c r="G101" s="44"/>
      <c r="H101" s="44"/>
      <c r="I101" s="44"/>
    </row>
    <row r="102" spans="1:9" x14ac:dyDescent="0.2">
      <c r="A102" s="44"/>
      <c r="B102" s="90" t="s">
        <v>253</v>
      </c>
      <c r="C102" s="84">
        <v>6.4999999999999997E-3</v>
      </c>
      <c r="D102" s="306">
        <f>($D97+$D98+$D112)/(1-$C$103)*C102</f>
        <v>26.140455907038344</v>
      </c>
      <c r="E102" s="306"/>
      <c r="F102" s="44"/>
      <c r="G102" s="44"/>
      <c r="H102" s="44"/>
      <c r="I102" s="44"/>
    </row>
    <row r="103" spans="1:9" ht="15.75" customHeight="1" x14ac:dyDescent="0.2">
      <c r="A103" s="44"/>
      <c r="B103" s="85" t="s">
        <v>254</v>
      </c>
      <c r="C103" s="77">
        <f>TRUNC(SUM(C100:C102),8)</f>
        <v>8.6499999999999994E-2</v>
      </c>
      <c r="D103" s="308">
        <f>SUM(D97:E102)</f>
        <v>490.52492452653797</v>
      </c>
      <c r="E103" s="308"/>
      <c r="F103" s="44"/>
      <c r="G103" s="44"/>
      <c r="H103" s="44"/>
      <c r="I103" s="44"/>
    </row>
    <row r="104" spans="1:9" x14ac:dyDescent="0.2">
      <c r="A104" s="44"/>
      <c r="B104" s="302" t="s">
        <v>255</v>
      </c>
      <c r="C104" s="302"/>
      <c r="D104" s="302"/>
      <c r="E104" s="302"/>
      <c r="F104" s="44"/>
      <c r="G104" s="44"/>
      <c r="H104" s="44"/>
      <c r="I104" s="44"/>
    </row>
    <row r="105" spans="1:9" x14ac:dyDescent="0.2">
      <c r="A105" s="44"/>
      <c r="B105" s="302"/>
      <c r="C105" s="302"/>
      <c r="D105" s="302"/>
      <c r="E105" s="302"/>
      <c r="F105" s="44"/>
      <c r="G105" s="44"/>
      <c r="H105" s="44"/>
      <c r="I105" s="44"/>
    </row>
    <row r="106" spans="1:9" x14ac:dyDescent="0.2">
      <c r="A106" s="44"/>
      <c r="B106" s="303" t="s">
        <v>256</v>
      </c>
      <c r="C106" s="303"/>
      <c r="D106" s="304" t="s">
        <v>206</v>
      </c>
      <c r="E106" s="304"/>
      <c r="F106" s="44"/>
      <c r="G106" s="44"/>
      <c r="H106" s="44"/>
      <c r="I106" s="44"/>
    </row>
    <row r="107" spans="1:9" x14ac:dyDescent="0.2">
      <c r="A107" s="54" t="s">
        <v>28</v>
      </c>
      <c r="B107" s="319" t="s">
        <v>257</v>
      </c>
      <c r="C107" s="319"/>
      <c r="D107" s="307">
        <f>+D22</f>
        <v>1681.33</v>
      </c>
      <c r="E107" s="307"/>
      <c r="F107" s="44"/>
      <c r="G107" s="44"/>
      <c r="H107" s="44"/>
      <c r="I107" s="44"/>
    </row>
    <row r="108" spans="1:9" x14ac:dyDescent="0.2">
      <c r="A108" s="54" t="s">
        <v>31</v>
      </c>
      <c r="B108" s="319" t="s">
        <v>47</v>
      </c>
      <c r="C108" s="319"/>
      <c r="D108" s="307">
        <f>D55</f>
        <v>1613.631583592</v>
      </c>
      <c r="E108" s="307"/>
      <c r="F108" s="44"/>
      <c r="G108" s="44"/>
      <c r="H108" s="44"/>
      <c r="I108" s="44"/>
    </row>
    <row r="109" spans="1:9" x14ac:dyDescent="0.2">
      <c r="A109" s="54" t="s">
        <v>34</v>
      </c>
      <c r="B109" s="319" t="s">
        <v>101</v>
      </c>
      <c r="C109" s="319"/>
      <c r="D109" s="307">
        <f>D65</f>
        <v>104.13485487999999</v>
      </c>
      <c r="E109" s="307"/>
      <c r="F109" s="44"/>
      <c r="G109" s="44"/>
      <c r="H109" s="44"/>
      <c r="I109" s="44"/>
    </row>
    <row r="110" spans="1:9" x14ac:dyDescent="0.2">
      <c r="A110" s="91" t="s">
        <v>36</v>
      </c>
      <c r="B110" s="319" t="s">
        <v>170</v>
      </c>
      <c r="C110" s="319"/>
      <c r="D110" s="307">
        <f>D85</f>
        <v>90.076055619507997</v>
      </c>
      <c r="E110" s="307"/>
      <c r="F110" s="44"/>
      <c r="G110" s="44"/>
      <c r="H110" s="44"/>
      <c r="I110" s="44"/>
    </row>
    <row r="111" spans="1:9" x14ac:dyDescent="0.2">
      <c r="A111" s="92" t="s">
        <v>39</v>
      </c>
      <c r="B111" s="321" t="s">
        <v>148</v>
      </c>
      <c r="C111" s="321"/>
      <c r="D111" s="307">
        <f>D93</f>
        <v>41.911182464775919</v>
      </c>
      <c r="E111" s="307"/>
      <c r="F111" s="44"/>
      <c r="G111" s="44"/>
      <c r="H111" s="44"/>
      <c r="I111" s="44"/>
    </row>
    <row r="112" spans="1:9" x14ac:dyDescent="0.2">
      <c r="A112" s="44"/>
      <c r="B112" s="290" t="s">
        <v>258</v>
      </c>
      <c r="C112" s="290"/>
      <c r="D112" s="318">
        <f>SUM(D107:E111)</f>
        <v>3531.083676556284</v>
      </c>
      <c r="E112" s="318"/>
      <c r="F112" s="44"/>
      <c r="G112" s="44"/>
      <c r="H112" s="44"/>
      <c r="I112" s="44"/>
    </row>
    <row r="113" spans="1:9" x14ac:dyDescent="0.2">
      <c r="A113" s="54" t="s">
        <v>41</v>
      </c>
      <c r="B113" s="319" t="s">
        <v>259</v>
      </c>
      <c r="C113" s="319"/>
      <c r="D113" s="306">
        <f>+D103</f>
        <v>490.52492452653797</v>
      </c>
      <c r="E113" s="306"/>
      <c r="F113" s="44"/>
      <c r="G113" s="44"/>
      <c r="H113" s="44"/>
      <c r="I113" s="44"/>
    </row>
    <row r="114" spans="1:9" x14ac:dyDescent="0.2">
      <c r="A114" s="44"/>
      <c r="B114" s="320" t="s">
        <v>260</v>
      </c>
      <c r="C114" s="320"/>
      <c r="D114" s="308">
        <f>+D112+D113</f>
        <v>4021.6086010828221</v>
      </c>
      <c r="E114" s="308"/>
      <c r="F114" s="44"/>
      <c r="G114" s="44"/>
      <c r="H114" s="52"/>
      <c r="I114" s="44"/>
    </row>
  </sheetData>
  <mergeCells count="142">
    <mergeCell ref="B1:E1"/>
    <mergeCell ref="B2:E2"/>
    <mergeCell ref="D3:E3"/>
    <mergeCell ref="B4:C4"/>
    <mergeCell ref="D4:E4"/>
    <mergeCell ref="D5:E5"/>
    <mergeCell ref="B12:C12"/>
    <mergeCell ref="D12:E12"/>
    <mergeCell ref="B13:E13"/>
    <mergeCell ref="B14:E14"/>
    <mergeCell ref="B15:C15"/>
    <mergeCell ref="D15:E15"/>
    <mergeCell ref="B6:C6"/>
    <mergeCell ref="D6:E6"/>
    <mergeCell ref="B7:E7"/>
    <mergeCell ref="B8:E8"/>
    <mergeCell ref="B10:B11"/>
    <mergeCell ref="C10:C11"/>
    <mergeCell ref="D10:D11"/>
    <mergeCell ref="E10:E11"/>
    <mergeCell ref="B19:C19"/>
    <mergeCell ref="D19:E19"/>
    <mergeCell ref="B20:C20"/>
    <mergeCell ref="D20:E20"/>
    <mergeCell ref="B21:C21"/>
    <mergeCell ref="D21:E21"/>
    <mergeCell ref="B16:C16"/>
    <mergeCell ref="D16:E16"/>
    <mergeCell ref="B17:C17"/>
    <mergeCell ref="D17:E17"/>
    <mergeCell ref="B18:C18"/>
    <mergeCell ref="D18:E18"/>
    <mergeCell ref="D28:E28"/>
    <mergeCell ref="D29:E29"/>
    <mergeCell ref="B30:E30"/>
    <mergeCell ref="D31:E31"/>
    <mergeCell ref="D32:E32"/>
    <mergeCell ref="D33:E33"/>
    <mergeCell ref="D22:E22"/>
    <mergeCell ref="B23:E23"/>
    <mergeCell ref="B24:E24"/>
    <mergeCell ref="B25:E25"/>
    <mergeCell ref="D26:E26"/>
    <mergeCell ref="D27:E27"/>
    <mergeCell ref="D40:E40"/>
    <mergeCell ref="B41:E41"/>
    <mergeCell ref="D42:E42"/>
    <mergeCell ref="D43:E43"/>
    <mergeCell ref="D44:E44"/>
    <mergeCell ref="D45:E45"/>
    <mergeCell ref="D34:E34"/>
    <mergeCell ref="D35:E35"/>
    <mergeCell ref="D36:E36"/>
    <mergeCell ref="D37:E37"/>
    <mergeCell ref="D38:E38"/>
    <mergeCell ref="D39:E39"/>
    <mergeCell ref="D51:E51"/>
    <mergeCell ref="B52:C52"/>
    <mergeCell ref="D52:E52"/>
    <mergeCell ref="B53:C53"/>
    <mergeCell ref="D53:E53"/>
    <mergeCell ref="B54:C54"/>
    <mergeCell ref="D54:E54"/>
    <mergeCell ref="D46:E46"/>
    <mergeCell ref="G46:I46"/>
    <mergeCell ref="D47:E47"/>
    <mergeCell ref="D48:E48"/>
    <mergeCell ref="D49:E49"/>
    <mergeCell ref="B50:E50"/>
    <mergeCell ref="D60:E60"/>
    <mergeCell ref="D61:E61"/>
    <mergeCell ref="D62:E62"/>
    <mergeCell ref="D63:E63"/>
    <mergeCell ref="D64:E64"/>
    <mergeCell ref="D65:E65"/>
    <mergeCell ref="B55:C55"/>
    <mergeCell ref="D55:E55"/>
    <mergeCell ref="B56:E56"/>
    <mergeCell ref="B57:E57"/>
    <mergeCell ref="D58:E58"/>
    <mergeCell ref="D59:E59"/>
    <mergeCell ref="D72:E72"/>
    <mergeCell ref="D73:E73"/>
    <mergeCell ref="D74:E74"/>
    <mergeCell ref="D75:E75"/>
    <mergeCell ref="D76:E76"/>
    <mergeCell ref="B77:E77"/>
    <mergeCell ref="B66:E66"/>
    <mergeCell ref="B67:E67"/>
    <mergeCell ref="B68:E68"/>
    <mergeCell ref="D69:E69"/>
    <mergeCell ref="D70:E70"/>
    <mergeCell ref="D71:E71"/>
    <mergeCell ref="B84:C84"/>
    <mergeCell ref="D84:E84"/>
    <mergeCell ref="B85:C85"/>
    <mergeCell ref="D85:E85"/>
    <mergeCell ref="B86:E86"/>
    <mergeCell ref="B87:E87"/>
    <mergeCell ref="D78:E78"/>
    <mergeCell ref="D79:E79"/>
    <mergeCell ref="D80:E80"/>
    <mergeCell ref="B81:E81"/>
    <mergeCell ref="D82:E82"/>
    <mergeCell ref="B83:C83"/>
    <mergeCell ref="D83:E83"/>
    <mergeCell ref="B94:E94"/>
    <mergeCell ref="B95:E95"/>
    <mergeCell ref="D96:E96"/>
    <mergeCell ref="D97:E97"/>
    <mergeCell ref="D98:E98"/>
    <mergeCell ref="D99:E99"/>
    <mergeCell ref="D88:E88"/>
    <mergeCell ref="D89:E89"/>
    <mergeCell ref="D90:E90"/>
    <mergeCell ref="D91:E91"/>
    <mergeCell ref="D92:E92"/>
    <mergeCell ref="D93:E93"/>
    <mergeCell ref="B106:C106"/>
    <mergeCell ref="D106:E106"/>
    <mergeCell ref="B107:C107"/>
    <mergeCell ref="D107:E107"/>
    <mergeCell ref="B108:C108"/>
    <mergeCell ref="D108:E108"/>
    <mergeCell ref="D100:E100"/>
    <mergeCell ref="D101:E101"/>
    <mergeCell ref="D102:E102"/>
    <mergeCell ref="D103:E103"/>
    <mergeCell ref="B104:E104"/>
    <mergeCell ref="B105:E105"/>
    <mergeCell ref="B112:C112"/>
    <mergeCell ref="D112:E112"/>
    <mergeCell ref="B113:C113"/>
    <mergeCell ref="D113:E113"/>
    <mergeCell ref="B114:C114"/>
    <mergeCell ref="D114:E114"/>
    <mergeCell ref="B109:C109"/>
    <mergeCell ref="D109:E109"/>
    <mergeCell ref="B110:C110"/>
    <mergeCell ref="D110:E110"/>
    <mergeCell ref="B111:C111"/>
    <mergeCell ref="D111:E111"/>
  </mergeCells>
  <pageMargins left="0.511811024" right="0.511811024" top="0.78740157499999996" bottom="0.78740157499999996" header="0.31496062000000002" footer="0.31496062000000002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23"/>
  <sheetViews>
    <sheetView tabSelected="1" topLeftCell="B1" zoomScale="70" zoomScaleNormal="70" workbookViewId="0">
      <selection activeCell="F9" sqref="F9"/>
    </sheetView>
  </sheetViews>
  <sheetFormatPr defaultColWidth="9.140625" defaultRowHeight="15" x14ac:dyDescent="0.25"/>
  <cols>
    <col min="1" max="1" width="9.140625" style="40"/>
    <col min="2" max="2" width="51.5703125" style="40" customWidth="1"/>
    <col min="3" max="3" width="11.42578125" style="40" customWidth="1"/>
    <col min="4" max="4" width="19.28515625" style="40" customWidth="1"/>
    <col min="5" max="5" width="16.85546875" style="40" customWidth="1"/>
    <col min="6" max="6" width="26.7109375" style="265" customWidth="1"/>
    <col min="7" max="8" width="9.140625" style="40"/>
    <col min="9" max="9" width="11.5703125" style="40" customWidth="1"/>
    <col min="10" max="10" width="12.7109375" style="40" customWidth="1"/>
    <col min="11" max="11" width="11.28515625" style="40" customWidth="1"/>
    <col min="12" max="12" width="16.42578125" style="40" customWidth="1"/>
    <col min="13" max="13" width="13.85546875" style="40" customWidth="1"/>
    <col min="14" max="14" width="14.28515625" style="40" customWidth="1"/>
    <col min="15" max="15" width="13.5703125" style="40" customWidth="1"/>
    <col min="16" max="16384" width="9.140625" style="40"/>
  </cols>
  <sheetData>
    <row r="1" spans="1:7" ht="24" customHeight="1" x14ac:dyDescent="0.25">
      <c r="A1" s="390" t="s">
        <v>425</v>
      </c>
      <c r="B1" s="390"/>
      <c r="C1" s="390"/>
      <c r="D1" s="390"/>
      <c r="E1" s="390"/>
      <c r="F1" s="390"/>
    </row>
    <row r="2" spans="1:7" ht="70.5" customHeight="1" thickBot="1" x14ac:dyDescent="0.3">
      <c r="A2" s="96" t="s">
        <v>175</v>
      </c>
      <c r="B2" s="96" t="s">
        <v>177</v>
      </c>
      <c r="C2" s="96" t="s">
        <v>264</v>
      </c>
      <c r="D2" s="96" t="s">
        <v>265</v>
      </c>
      <c r="E2" s="96" t="s">
        <v>266</v>
      </c>
      <c r="F2" s="266" t="s">
        <v>267</v>
      </c>
      <c r="G2" s="39"/>
    </row>
    <row r="3" spans="1:7" ht="144.75" customHeight="1" thickTop="1" thickBot="1" x14ac:dyDescent="0.3">
      <c r="A3" s="227">
        <v>1</v>
      </c>
      <c r="B3" s="228" t="s">
        <v>436</v>
      </c>
      <c r="C3" s="229" t="s">
        <v>264</v>
      </c>
      <c r="D3" s="230">
        <v>41.526000000000003</v>
      </c>
      <c r="E3" s="229">
        <v>10</v>
      </c>
      <c r="F3" s="231">
        <f>TRUNC(E3*D3,2)</f>
        <v>415.26</v>
      </c>
    </row>
    <row r="4" spans="1:7" ht="90.75" customHeight="1" thickTop="1" thickBot="1" x14ac:dyDescent="0.3">
      <c r="A4" s="232">
        <v>2</v>
      </c>
      <c r="B4" s="233" t="s">
        <v>440</v>
      </c>
      <c r="C4" s="234" t="s">
        <v>264</v>
      </c>
      <c r="D4" s="230">
        <v>48.05</v>
      </c>
      <c r="E4" s="234">
        <v>10</v>
      </c>
      <c r="F4" s="235">
        <f>TRUNC(E4*D4,2)</f>
        <v>480.5</v>
      </c>
    </row>
    <row r="5" spans="1:7" ht="31.5" thickTop="1" thickBot="1" x14ac:dyDescent="0.3">
      <c r="A5" s="227">
        <v>3</v>
      </c>
      <c r="B5" s="228" t="s">
        <v>272</v>
      </c>
      <c r="C5" s="229" t="s">
        <v>273</v>
      </c>
      <c r="D5" s="230">
        <v>65.822999999999993</v>
      </c>
      <c r="E5" s="229">
        <v>10</v>
      </c>
      <c r="F5" s="231">
        <f>TRUNC(E5*D5,2)</f>
        <v>658.23</v>
      </c>
    </row>
    <row r="6" spans="1:7" ht="38.25" customHeight="1" thickTop="1" thickBot="1" x14ac:dyDescent="0.3">
      <c r="A6" s="232">
        <v>4</v>
      </c>
      <c r="B6" s="233" t="s">
        <v>274</v>
      </c>
      <c r="C6" s="234" t="s">
        <v>273</v>
      </c>
      <c r="D6" s="230">
        <v>8.6999999999999993</v>
      </c>
      <c r="E6" s="234">
        <v>20</v>
      </c>
      <c r="F6" s="235">
        <f>TRUNC(E6*D6,2)</f>
        <v>174</v>
      </c>
    </row>
    <row r="7" spans="1:7" ht="42" customHeight="1" thickTop="1" thickBot="1" x14ac:dyDescent="0.3">
      <c r="A7" s="227">
        <v>5</v>
      </c>
      <c r="B7" s="228" t="s">
        <v>275</v>
      </c>
      <c r="C7" s="229" t="s">
        <v>264</v>
      </c>
      <c r="D7" s="230">
        <v>69.043000000000006</v>
      </c>
      <c r="E7" s="229">
        <v>10</v>
      </c>
      <c r="F7" s="231">
        <f>TRUNC(E7*D7,2)</f>
        <v>690.43</v>
      </c>
    </row>
    <row r="8" spans="1:7" ht="15.75" thickTop="1" x14ac:dyDescent="0.25">
      <c r="A8" s="236" t="s">
        <v>44</v>
      </c>
      <c r="B8" s="237"/>
      <c r="C8" s="237"/>
      <c r="D8" s="237"/>
      <c r="E8" s="237"/>
      <c r="F8" s="238">
        <f>SUM(F3:F7)</f>
        <v>2418.42</v>
      </c>
    </row>
    <row r="9" spans="1:7" x14ac:dyDescent="0.25">
      <c r="A9" s="239"/>
      <c r="B9" s="240" t="s">
        <v>276</v>
      </c>
      <c r="C9" s="241"/>
      <c r="D9" s="241"/>
      <c r="E9" s="241"/>
      <c r="F9" s="242">
        <f>(F8/12)/10</f>
        <v>20.153500000000001</v>
      </c>
    </row>
    <row r="12" spans="1:7" x14ac:dyDescent="0.25">
      <c r="A12" s="391" t="s">
        <v>431</v>
      </c>
      <c r="B12" s="391"/>
      <c r="C12" s="391"/>
      <c r="D12" s="391"/>
      <c r="E12" s="391"/>
      <c r="F12" s="391"/>
    </row>
    <row r="13" spans="1:7" ht="26.25" thickBot="1" x14ac:dyDescent="0.3">
      <c r="A13" s="243" t="s">
        <v>175</v>
      </c>
      <c r="B13" s="243" t="s">
        <v>177</v>
      </c>
      <c r="C13" s="243" t="s">
        <v>264</v>
      </c>
      <c r="D13" s="243" t="s">
        <v>265</v>
      </c>
      <c r="E13" s="243" t="s">
        <v>266</v>
      </c>
      <c r="F13" s="244" t="s">
        <v>267</v>
      </c>
      <c r="G13" s="39"/>
    </row>
    <row r="14" spans="1:7" ht="46.5" thickTop="1" thickBot="1" x14ac:dyDescent="0.3">
      <c r="A14" s="245">
        <v>1</v>
      </c>
      <c r="B14" s="246" t="s">
        <v>435</v>
      </c>
      <c r="C14" s="247" t="s">
        <v>264</v>
      </c>
      <c r="D14" s="248">
        <v>46.53</v>
      </c>
      <c r="E14" s="247">
        <v>14</v>
      </c>
      <c r="F14" s="249">
        <f>TRUNC(E14*D14,2)</f>
        <v>651.41999999999996</v>
      </c>
    </row>
    <row r="15" spans="1:7" ht="46.5" thickTop="1" thickBot="1" x14ac:dyDescent="0.3">
      <c r="A15" s="250">
        <v>2</v>
      </c>
      <c r="B15" s="251" t="s">
        <v>428</v>
      </c>
      <c r="C15" s="252" t="s">
        <v>264</v>
      </c>
      <c r="D15" s="248">
        <v>42.962857100000001</v>
      </c>
      <c r="E15" s="252">
        <v>14</v>
      </c>
      <c r="F15" s="253">
        <f t="shared" ref="F15:F20" si="0">TRUNC(E15*D15,2)</f>
        <v>601.47</v>
      </c>
    </row>
    <row r="16" spans="1:7" ht="60" customHeight="1" thickTop="1" thickBot="1" x14ac:dyDescent="0.3">
      <c r="A16" s="245">
        <v>3</v>
      </c>
      <c r="B16" s="246" t="s">
        <v>432</v>
      </c>
      <c r="C16" s="247" t="s">
        <v>422</v>
      </c>
      <c r="D16" s="248">
        <v>28.172857100000002</v>
      </c>
      <c r="E16" s="247">
        <v>14</v>
      </c>
      <c r="F16" s="249">
        <f t="shared" si="0"/>
        <v>394.41</v>
      </c>
    </row>
    <row r="17" spans="1:6" ht="31.5" thickTop="1" thickBot="1" x14ac:dyDescent="0.3">
      <c r="A17" s="250">
        <v>4</v>
      </c>
      <c r="B17" s="251" t="s">
        <v>423</v>
      </c>
      <c r="C17" s="252" t="s">
        <v>273</v>
      </c>
      <c r="D17" s="248">
        <v>48.056428599999997</v>
      </c>
      <c r="E17" s="252">
        <v>14</v>
      </c>
      <c r="F17" s="253">
        <f t="shared" si="0"/>
        <v>672.79</v>
      </c>
    </row>
    <row r="18" spans="1:6" ht="46.5" thickTop="1" thickBot="1" x14ac:dyDescent="0.3">
      <c r="A18" s="245">
        <v>5</v>
      </c>
      <c r="B18" s="246" t="s">
        <v>430</v>
      </c>
      <c r="C18" s="247" t="s">
        <v>264</v>
      </c>
      <c r="D18" s="248">
        <v>17.292857099999999</v>
      </c>
      <c r="E18" s="247">
        <v>7</v>
      </c>
      <c r="F18" s="249">
        <f>(E18*D18)</f>
        <v>121.0499997</v>
      </c>
    </row>
    <row r="19" spans="1:6" ht="76.5" thickTop="1" thickBot="1" x14ac:dyDescent="0.3">
      <c r="A19" s="250">
        <v>6</v>
      </c>
      <c r="B19" s="251" t="s">
        <v>429</v>
      </c>
      <c r="C19" s="252" t="s">
        <v>273</v>
      </c>
      <c r="D19" s="248">
        <v>25.44</v>
      </c>
      <c r="E19" s="252">
        <v>14</v>
      </c>
      <c r="F19" s="253">
        <f t="shared" si="0"/>
        <v>356.16</v>
      </c>
    </row>
    <row r="20" spans="1:6" ht="31.5" thickTop="1" thickBot="1" x14ac:dyDescent="0.3">
      <c r="A20" s="245">
        <v>7</v>
      </c>
      <c r="B20" s="246" t="s">
        <v>434</v>
      </c>
      <c r="C20" s="247" t="s">
        <v>264</v>
      </c>
      <c r="D20" s="248">
        <v>20.53</v>
      </c>
      <c r="E20" s="247">
        <v>7</v>
      </c>
      <c r="F20" s="249">
        <f t="shared" si="0"/>
        <v>143.71</v>
      </c>
    </row>
    <row r="21" spans="1:6" ht="46.5" thickTop="1" thickBot="1" x14ac:dyDescent="0.3">
      <c r="A21" s="254">
        <v>8</v>
      </c>
      <c r="B21" s="255" t="s">
        <v>433</v>
      </c>
      <c r="C21" s="256" t="s">
        <v>264</v>
      </c>
      <c r="D21" s="248">
        <v>40.692857099999998</v>
      </c>
      <c r="E21" s="256">
        <v>14</v>
      </c>
      <c r="F21" s="257">
        <f>(E21*D21)</f>
        <v>569.69999940000002</v>
      </c>
    </row>
    <row r="22" spans="1:6" ht="15.75" thickTop="1" x14ac:dyDescent="0.25">
      <c r="A22" s="258" t="s">
        <v>44</v>
      </c>
      <c r="B22" s="259"/>
      <c r="C22" s="259"/>
      <c r="D22" s="259"/>
      <c r="E22" s="259"/>
      <c r="F22" s="260">
        <f>SUM(F14:F21)</f>
        <v>3510.7099991000005</v>
      </c>
    </row>
    <row r="23" spans="1:6" x14ac:dyDescent="0.25">
      <c r="A23" s="261"/>
      <c r="B23" s="262" t="s">
        <v>424</v>
      </c>
      <c r="C23" s="263"/>
      <c r="D23" s="263"/>
      <c r="E23" s="263"/>
      <c r="F23" s="264">
        <f>(F22/12)/7</f>
        <v>41.794166655952388</v>
      </c>
    </row>
  </sheetData>
  <mergeCells count="2">
    <mergeCell ref="A1:F1"/>
    <mergeCell ref="A12:F12"/>
  </mergeCells>
  <pageMargins left="0.75" right="0.75" top="1" bottom="1" header="0.511811023622047" footer="0.511811023622047"/>
  <pageSetup paperSize="9" scale="57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31</vt:i4>
      </vt:variant>
    </vt:vector>
  </HeadingPairs>
  <TitlesOfParts>
    <vt:vector size="44" baseType="lpstr">
      <vt:lpstr>Servente</vt:lpstr>
      <vt:lpstr>Encarregado</vt:lpstr>
      <vt:lpstr>Quadro Resumo</vt:lpstr>
      <vt:lpstr>Psicopedagogo</vt:lpstr>
      <vt:lpstr>Cuidador</vt:lpstr>
      <vt:lpstr>Apoio</vt:lpstr>
      <vt:lpstr>ASG</vt:lpstr>
      <vt:lpstr>Encarregado_</vt:lpstr>
      <vt:lpstr>Uniformes</vt:lpstr>
      <vt:lpstr>Materiais e Equipamentos</vt:lpstr>
      <vt:lpstr>Relógio Ponto</vt:lpstr>
      <vt:lpstr>Qnt_ASG-ENC</vt:lpstr>
      <vt:lpstr>Áreas</vt:lpstr>
      <vt:lpstr>Encarregado!_1A</vt:lpstr>
      <vt:lpstr>Servente!_1A</vt:lpstr>
      <vt:lpstr>Encarregado!_1B</vt:lpstr>
      <vt:lpstr>Servente!_1B</vt:lpstr>
      <vt:lpstr>Encarregado!_1C</vt:lpstr>
      <vt:lpstr>Servente!_1C</vt:lpstr>
      <vt:lpstr>Encarregado!_1D</vt:lpstr>
      <vt:lpstr>Servente!_1D</vt:lpstr>
      <vt:lpstr>Encarregado!_1E</vt:lpstr>
      <vt:lpstr>Servente!_1E</vt:lpstr>
      <vt:lpstr>Encarregado!_1F</vt:lpstr>
      <vt:lpstr>Servente!_1F</vt:lpstr>
      <vt:lpstr>Encarregado!_2.1A</vt:lpstr>
      <vt:lpstr>Servente!_2.1A</vt:lpstr>
      <vt:lpstr>Encarregado!_2.1B</vt:lpstr>
      <vt:lpstr>Servente!_2.1B</vt:lpstr>
      <vt:lpstr>Encarregado!_2.3A</vt:lpstr>
      <vt:lpstr>Servente!_2.3A</vt:lpstr>
      <vt:lpstr>Encarregado!_2.3B</vt:lpstr>
      <vt:lpstr>Servente!_2.3B</vt:lpstr>
      <vt:lpstr>Encarregado!_2.3C</vt:lpstr>
      <vt:lpstr>Servente!_2.3C</vt:lpstr>
      <vt:lpstr>Encarregado!_2.3D</vt:lpstr>
      <vt:lpstr>Servente!_2.3D</vt:lpstr>
      <vt:lpstr>'Quadro Resumo'!Area_de_impressao</vt:lpstr>
      <vt:lpstr>'Relógio Ponto'!Area_de_impressao</vt:lpstr>
      <vt:lpstr>Uniformes!Area_de_impressao</vt:lpstr>
      <vt:lpstr>Encarregado!Salário_Normativo_da_Categoria_Profissional</vt:lpstr>
      <vt:lpstr>Servente!Salário_Normativo_da_Categoria_Profissional</vt:lpstr>
      <vt:lpstr>Encarregado!SalarioBase</vt:lpstr>
      <vt:lpstr>Servente!SalarioBase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Carlos</dc:creator>
  <dc:description/>
  <cp:lastModifiedBy>cclif</cp:lastModifiedBy>
  <cp:revision>5</cp:revision>
  <cp:lastPrinted>2023-01-12T14:01:50Z</cp:lastPrinted>
  <dcterms:created xsi:type="dcterms:W3CDTF">2019-02-19T21:25:00Z</dcterms:created>
  <dcterms:modified xsi:type="dcterms:W3CDTF">2023-02-08T17:12:32Z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ICV">
    <vt:lpwstr>77ECECBA2D4249ABAAA0D521A333FBF6</vt:lpwstr>
  </property>
  <property fmtid="{D5CDD505-2E9C-101B-9397-08002B2CF9AE}" pid="4" name="KSOProductBuildVer">
    <vt:lpwstr>1046-11.2.0.10323</vt:lpwstr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